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10260" tabRatio="935" firstSheet="1" activeTab="2"/>
  </bookViews>
  <sheets>
    <sheet name="g's vs RPM" sheetId="1" state="hidden" r:id="rId1"/>
    <sheet name="Correlation Raw Data" sheetId="2" r:id="rId2"/>
    <sheet name="Correction" sheetId="3" r:id="rId3"/>
    <sheet name="Analysis" sheetId="4" r:id="rId4"/>
    <sheet name="Interaction Plot" sheetId="5" r:id="rId5"/>
    <sheet name="Least Squares Plot" sheetId="6" r:id="rId6"/>
    <sheet name="Quality Check" sheetId="7" r:id="rId7"/>
    <sheet name="X-Bar Chart" sheetId="8" r:id="rId8"/>
    <sheet name="Range Chart" sheetId="9" r:id="rId9"/>
    <sheet name="Individual RMC Chart" sheetId="10" r:id="rId10"/>
    <sheet name="Moving Range Chart" sheetId="11" r:id="rId11"/>
    <sheet name="Cloth Runs" sheetId="12" r:id="rId12"/>
    <sheet name="Extra Data" sheetId="13" r:id="rId13"/>
  </sheets>
  <definedNames>
    <definedName name="edit">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<sst xmlns="http://schemas.openxmlformats.org/spreadsheetml/2006/main" count="1106" uniqueCount="709">
  <si>
    <t>15 minute spin</t>
  </si>
  <si>
    <t>4 minute spin</t>
  </si>
  <si>
    <t>"g" force</t>
  </si>
  <si>
    <t>Table 2.6.5  Matrix of Extractor RMC test conditions</t>
  </si>
  <si>
    <t>warm soak</t>
  </si>
  <si>
    <t>cold soak</t>
  </si>
  <si>
    <t>best fit</t>
  </si>
  <si>
    <t>A=</t>
  </si>
  <si>
    <t>B=</t>
  </si>
  <si>
    <r>
      <t>Δ</t>
    </r>
    <r>
      <rPr>
        <vertAlign val="superscript"/>
        <sz val="10"/>
        <rFont val="Arial"/>
        <family val="2"/>
      </rPr>
      <t>2</t>
    </r>
  </si>
  <si>
    <t>RPM for g's</t>
  </si>
  <si>
    <t>basket diameter</t>
  </si>
  <si>
    <t>g force</t>
  </si>
  <si>
    <t>Table 2.6.6.1 - Standard RMC Values (lot #3)</t>
  </si>
  <si>
    <t>Lot number</t>
  </si>
  <si>
    <t>Test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</si>
  <si>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</si>
  <si>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</si>
  <si>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</si>
  <si>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</si>
  <si>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</si>
  <si>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</si>
  <si>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</si>
  <si>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</si>
  <si>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</si>
  <si>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</si>
  <si>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</si>
  <si>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</si>
  <si>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SS</t>
  </si>
  <si>
    <t>df</t>
  </si>
  <si>
    <t>MS</t>
  </si>
  <si>
    <t>F</t>
  </si>
  <si>
    <t>P-value</t>
  </si>
  <si>
    <t>F crit</t>
  </si>
  <si>
    <t>Interaction</t>
  </si>
  <si>
    <t>Total</t>
  </si>
  <si>
    <t>Source of Variation</t>
  </si>
  <si>
    <t>speed</t>
  </si>
  <si>
    <t>lot</t>
  </si>
  <si>
    <t>Within (error)</t>
  </si>
  <si>
    <t>Test with 8.4 +/- 0.1 lb preconditioned test cloth.</t>
  </si>
  <si>
    <t>100 F</t>
  </si>
  <si>
    <t>60 F</t>
  </si>
  <si>
    <r>
      <t>RMS error=√( sum (Δ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( n-2 )) =</t>
    </r>
  </si>
  <si>
    <t>Spreadsheet calculates least squares fit to standard RMC table, and RMS error of corrected data to standard.</t>
  </si>
  <si>
    <t>C - 4-500</t>
  </si>
  <si>
    <t>W - 4-500</t>
  </si>
  <si>
    <t>C-15-500</t>
  </si>
  <si>
    <t>W-15-500</t>
  </si>
  <si>
    <t>C - 4-650</t>
  </si>
  <si>
    <t>W - 4-650</t>
  </si>
  <si>
    <t>C-15-650</t>
  </si>
  <si>
    <t>W-15-650</t>
  </si>
  <si>
    <t>Slope</t>
  </si>
  <si>
    <t>Intercept</t>
  </si>
  <si>
    <t>RMS Error</t>
  </si>
  <si>
    <t>100 to 350 g</t>
  </si>
  <si>
    <t>This is with 100 through 650 G data</t>
  </si>
  <si>
    <t>100 to 500 g</t>
  </si>
  <si>
    <t>Speed</t>
  </si>
  <si>
    <t>Within</t>
  </si>
  <si>
    <t xml:space="preserve">Speed </t>
  </si>
  <si>
    <t>Lot</t>
  </si>
  <si>
    <t>R square</t>
  </si>
  <si>
    <t>100 through 650 G</t>
  </si>
  <si>
    <t>200 thorugh 650 G</t>
  </si>
  <si>
    <t>Speed Ranges</t>
  </si>
  <si>
    <t>100 through 350</t>
  </si>
  <si>
    <t>100 through 500</t>
  </si>
  <si>
    <t>100 through 650</t>
  </si>
  <si>
    <t>200 through 650</t>
  </si>
  <si>
    <t>lot*speed</t>
  </si>
  <si>
    <t>P values</t>
  </si>
  <si>
    <t>Note: Please do not alter any cells in this worksheet.</t>
  </si>
  <si>
    <t xml:space="preserve">Speed*Lot interaction </t>
  </si>
  <si>
    <t xml:space="preserve">RMS Error </t>
  </si>
  <si>
    <t>Location</t>
  </si>
  <si>
    <t>Tested by:</t>
  </si>
  <si>
    <t>Date:</t>
  </si>
  <si>
    <t>Note - - If  P-value &gt; 0.10; interaction is NOT significant.</t>
  </si>
  <si>
    <t>Criteria for approving lot based on correction coefficient data with 100 through 650 G spin speeds</t>
  </si>
  <si>
    <t>Lot 3</t>
  </si>
  <si>
    <t>Accpetance criteria</t>
  </si>
  <si>
    <t>2.6.6.2</t>
  </si>
  <si>
    <t>J1  reference</t>
  </si>
  <si>
    <t>P value &gt; 0.10</t>
  </si>
  <si>
    <t>RMS Error &lt; 2%</t>
  </si>
  <si>
    <t>Data</t>
  </si>
  <si>
    <t>Result</t>
  </si>
  <si>
    <t>Dry Wt</t>
  </si>
  <si>
    <t>Wet Wt</t>
  </si>
  <si>
    <t>4 min</t>
  </si>
  <si>
    <t>15 min</t>
  </si>
  <si>
    <t>Batch #</t>
  </si>
  <si>
    <t>100 G</t>
  </si>
  <si>
    <t>200 G</t>
  </si>
  <si>
    <t>350 G</t>
  </si>
  <si>
    <t>500 G</t>
  </si>
  <si>
    <t>650 G</t>
  </si>
  <si>
    <t>ATEC</t>
  </si>
  <si>
    <t>% RMC</t>
  </si>
  <si>
    <r>
      <t>60</t>
    </r>
    <r>
      <rPr>
        <sz val="10"/>
        <color indexed="8"/>
        <rFont val="Arial"/>
        <family val="2"/>
      </rPr>
      <t>⁰F - Cold Bath</t>
    </r>
  </si>
  <si>
    <r>
      <t>100</t>
    </r>
    <r>
      <rPr>
        <sz val="10"/>
        <color indexed="8"/>
        <rFont val="Arial"/>
        <family val="2"/>
      </rPr>
      <t>⁰F - Warm Bath</t>
    </r>
  </si>
  <si>
    <t>Condition Point</t>
  </si>
  <si>
    <t>RMC averages by speed</t>
  </si>
  <si>
    <t>Rebecca Fedorko</t>
  </si>
  <si>
    <t>Individual data points</t>
  </si>
  <si>
    <t>Load averages</t>
  </si>
  <si>
    <t>RMC Average</t>
  </si>
  <si>
    <t>Stdev</t>
  </si>
  <si>
    <t>CV%</t>
  </si>
  <si>
    <t>Max</t>
  </si>
  <si>
    <t>Min</t>
  </si>
  <si>
    <t>Range</t>
  </si>
  <si>
    <t>Ave RMC STDV</t>
  </si>
  <si>
    <t>Load %RMC</t>
  </si>
  <si>
    <t>Load Ave</t>
  </si>
  <si>
    <t>Beginning 1</t>
  </si>
  <si>
    <t>Beginning 2</t>
  </si>
  <si>
    <t>Beginning 3</t>
  </si>
  <si>
    <t>Middle 4</t>
  </si>
  <si>
    <t>Middle 5</t>
  </si>
  <si>
    <t>Middle 6</t>
  </si>
  <si>
    <t>End 7</t>
  </si>
  <si>
    <t>End 8</t>
  </si>
  <si>
    <t>End 9</t>
  </si>
  <si>
    <t>STDEV</t>
  </si>
  <si>
    <t>Beginning</t>
  </si>
  <si>
    <t>Middle</t>
  </si>
  <si>
    <t>End</t>
  </si>
  <si>
    <t>Cloth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</si>
  <si>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</si>
  <si>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</si>
  <si>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</si>
  <si>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</si>
  <si>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</si>
  <si>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</si>
  <si>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</si>
  <si>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</si>
  <si>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</si>
  <si>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</si>
  <si>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</si>
  <si>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</si>
  <si>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</si>
  <si>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</si>
  <si>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</si>
  <si>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</si>
  <si>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</si>
  <si>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</si>
  <si>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</si>
  <si>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</si>
  <si>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</si>
  <si>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</si>
  <si>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</si>
  <si>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</si>
  <si>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</si>
  <si>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</si>
  <si>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</si>
  <si>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</si>
  <si>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</si>
  <si>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</si>
  <si>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</si>
  <si>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</si>
  <si>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</si>
  <si>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</si>
  <si>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</si>
  <si>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</si>
  <si>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</si>
  <si>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</si>
  <si>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</si>
  <si>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</si>
  <si>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</si>
  <si>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</si>
  <si>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</si>
  <si>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</si>
  <si>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</si>
  <si>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</si>
  <si>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</si>
  <si>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</si>
  <si>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</si>
  <si>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</si>
  <si>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</si>
  <si>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</si>
  <si>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</si>
  <si>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</si>
  <si>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</si>
  <si>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</si>
  <si>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</si>
  <si>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</si>
  <si>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</si>
  <si>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</si>
  <si>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</si>
  <si>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</si>
  <si>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</si>
  <si>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</si>
  <si>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</si>
  <si>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</si>
  <si>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</si>
  <si>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</si>
  <si>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</si>
  <si>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</si>
  <si>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</si>
  <si>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</si>
  <si>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Runs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</si>
  <si>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</si>
  <si>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</si>
  <si>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</si>
  <si>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</si>
  <si>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</si>
  <si>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</si>
  <si>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</si>
  <si>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</si>
  <si>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</si>
  <si>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</si>
  <si>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</si>
  <si>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</si>
  <si>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</si>
  <si>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</si>
  <si>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</si>
  <si>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</si>
  <si>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</si>
  <si>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</si>
  <si>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</si>
  <si>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</si>
  <si>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</si>
  <si>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</si>
  <si>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</si>
  <si>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</si>
  <si>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</si>
  <si>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</si>
  <si>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</si>
  <si>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</si>
  <si>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</si>
  <si>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</si>
  <si>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</si>
  <si>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</si>
  <si>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</si>
  <si>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</si>
  <si>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</si>
  <si>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</si>
  <si>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Extractor Runs: Preconditioning not included</t>
  </si>
  <si>
    <t>X-Bar Chart</t>
  </si>
  <si>
    <t>UCL</t>
  </si>
  <si>
    <t>LCL</t>
  </si>
  <si>
    <t>X-Bar</t>
  </si>
  <si>
    <t>A2</t>
  </si>
  <si>
    <t>R-Bar</t>
  </si>
  <si>
    <t>X-Bar Chart: Middle</t>
  </si>
  <si>
    <t xml:space="preserve">X-Bar Chart: Beginnning </t>
  </si>
  <si>
    <t>X-Bar Chart: End</t>
  </si>
  <si>
    <t>Pt</t>
  </si>
  <si>
    <t>Temp 1</t>
  </si>
  <si>
    <t xml:space="preserve">Temp 2 </t>
  </si>
  <si>
    <t>Max time</t>
  </si>
  <si>
    <t>Range Chart: Beginning</t>
  </si>
  <si>
    <t>Range Chart: Middle</t>
  </si>
  <si>
    <t>Range Chart: End</t>
  </si>
  <si>
    <t>D3</t>
  </si>
  <si>
    <t>D4</t>
  </si>
  <si>
    <t>Range Chart</t>
  </si>
  <si>
    <t>S</t>
  </si>
  <si>
    <t>IM Chart: Beginning</t>
  </si>
  <si>
    <t>IM Chart: Middle</t>
  </si>
  <si>
    <t>IM Chart: End</t>
  </si>
  <si>
    <t>(X-Xbar)^2</t>
  </si>
  <si>
    <t>n</t>
  </si>
  <si>
    <t>Individual Measurements of %RMC Chart</t>
  </si>
  <si>
    <t>MR</t>
  </si>
  <si>
    <t>Ranges</t>
  </si>
  <si>
    <t>%RMC - Beginning</t>
  </si>
  <si>
    <t>%RMC - Middle</t>
  </si>
  <si>
    <t>%RMC - End</t>
  </si>
  <si>
    <t>Range - Beginning</t>
  </si>
  <si>
    <t>Range - Middle</t>
  </si>
  <si>
    <t>Range - End</t>
  </si>
  <si>
    <t>Moving Range of %RMC Chart</t>
  </si>
  <si>
    <t>Batch 2</t>
  </si>
  <si>
    <t>200 to 500 g</t>
  </si>
  <si>
    <t>350 to 650 g</t>
  </si>
  <si>
    <t>350 through 650</t>
  </si>
  <si>
    <t>200 through 500</t>
  </si>
  <si>
    <t>"g" force"</t>
  </si>
  <si>
    <t>Ave RMC measured</t>
  </si>
  <si>
    <t>Ave RMC corrected</t>
  </si>
  <si>
    <t>Coeffiecents of the Least Squares Fit</t>
  </si>
  <si>
    <t>Lot 3 RMC standard</t>
  </si>
  <si>
    <t>*interaction is reported as the smallest p-value found.</t>
  </si>
  <si>
    <t>Standard Lot 3</t>
  </si>
  <si>
    <t xml:space="preserve">Middle 4 </t>
  </si>
  <si>
    <r>
      <t>350 G - 15 min - 60</t>
    </r>
    <r>
      <rPr>
        <sz val="11"/>
        <color indexed="8"/>
        <rFont val="Calibri"/>
        <family val="2"/>
      </rPr>
      <t>⁰F cold soak</t>
    </r>
  </si>
  <si>
    <t xml:space="preserve">Acceptability criteria </t>
  </si>
  <si>
    <r>
      <t xml:space="preserve">Is CV </t>
    </r>
    <r>
      <rPr>
        <b/>
        <sz val="11"/>
        <color indexed="8"/>
        <rFont val="Calibri"/>
        <family val="2"/>
      </rPr>
      <t>≤</t>
    </r>
    <r>
      <rPr>
        <b/>
        <sz val="11"/>
        <color indexed="8"/>
        <rFont val="Arial"/>
        <family val="2"/>
      </rPr>
      <t xml:space="preserve"> 1%?</t>
    </r>
  </si>
  <si>
    <t>Lot Correlation Temperatures and Times</t>
  </si>
  <si>
    <t>Test #</t>
  </si>
  <si>
    <t>350C15</t>
  </si>
  <si>
    <t>100C4</t>
  </si>
  <si>
    <t>350W4</t>
  </si>
  <si>
    <t>100W15</t>
  </si>
  <si>
    <t>350C4</t>
  </si>
  <si>
    <t>650C15</t>
  </si>
  <si>
    <t>350W15</t>
  </si>
  <si>
    <t>650W4</t>
  </si>
  <si>
    <t>500C15</t>
  </si>
  <si>
    <t>650C4</t>
  </si>
  <si>
    <t>500W4</t>
  </si>
  <si>
    <t>650W15</t>
  </si>
  <si>
    <t>500C4</t>
  </si>
  <si>
    <t>200C15</t>
  </si>
  <si>
    <t>500W15</t>
  </si>
  <si>
    <t>200W4</t>
  </si>
  <si>
    <t>100C15</t>
  </si>
  <si>
    <t>200C4</t>
  </si>
  <si>
    <t>100W4</t>
  </si>
  <si>
    <t>200W15</t>
  </si>
  <si>
    <t>Correlation Test Sequence</t>
  </si>
  <si>
    <t>Quality Test Sequence</t>
  </si>
  <si>
    <t>batch</t>
  </si>
  <si>
    <t>Temp</t>
  </si>
  <si>
    <t>Time</t>
  </si>
  <si>
    <t>Weight</t>
  </si>
  <si>
    <t>Batch</t>
  </si>
  <si>
    <t>Correlation Presoaks</t>
  </si>
  <si>
    <t>Quality Check Presoaks</t>
  </si>
  <si>
    <t>#</t>
  </si>
  <si>
    <t>Details</t>
  </si>
  <si>
    <t>Quality Check Temperatures and Times - Run at 350-C-15</t>
  </si>
  <si>
    <t>Beginning - A</t>
  </si>
  <si>
    <t>Beginning - B</t>
  </si>
  <si>
    <t>Beginning - C</t>
  </si>
  <si>
    <t>Middle - E</t>
  </si>
  <si>
    <t>Middle - F</t>
  </si>
  <si>
    <t>End - H</t>
  </si>
  <si>
    <t>Middle - D</t>
  </si>
  <si>
    <t>End - G</t>
  </si>
  <si>
    <t>End - I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</si>
  <si>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</si>
  <si>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</si>
  <si>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</si>
  <si>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</si>
  <si>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</si>
  <si>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</si>
  <si>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</si>
  <si>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</si>
  <si>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</si>
  <si>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stuffer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</si>
  <si>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</si>
  <si>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</si>
  <si>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</si>
  <si>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</si>
  <si>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</si>
  <si>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</si>
  <si>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</si>
  <si>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</si>
  <si>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</si>
  <si>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</si>
  <si>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</si>
  <si>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</si>
  <si>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</si>
  <si>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</si>
  <si>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</si>
  <si>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</si>
  <si>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</si>
  <si>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</si>
  <si>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</si>
  <si>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</si>
  <si>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</si>
  <si>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</si>
  <si>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</si>
  <si>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</si>
  <si>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</si>
  <si>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</si>
  <si>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</si>
  <si>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</si>
  <si>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</si>
  <si>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</si>
  <si>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</si>
  <si>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</si>
  <si>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</si>
  <si>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</si>
  <si>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</si>
  <si>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</si>
  <si>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</si>
  <si>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</si>
  <si>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</si>
  <si>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</si>
  <si>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</si>
  <si>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</si>
  <si>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</si>
  <si>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</si>
  <si>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</si>
  <si>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</si>
  <si>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</si>
  <si>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</si>
  <si>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</si>
  <si>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D-32</t>
  </si>
  <si>
    <t>D-33</t>
  </si>
  <si>
    <t>D-34</t>
  </si>
  <si>
    <t>D-35</t>
  </si>
  <si>
    <t>D-36</t>
  </si>
  <si>
    <t>D-37</t>
  </si>
  <si>
    <t>D-38</t>
  </si>
  <si>
    <t>D-39</t>
  </si>
  <si>
    <t>D-40</t>
  </si>
  <si>
    <t>D-41</t>
  </si>
  <si>
    <t>D-42</t>
  </si>
  <si>
    <t>D-43</t>
  </si>
  <si>
    <t>D-44</t>
  </si>
  <si>
    <t>D-45</t>
  </si>
  <si>
    <t>E-01</t>
  </si>
  <si>
    <t>F-01</t>
  </si>
  <si>
    <t>G-01</t>
  </si>
  <si>
    <t>H-01</t>
  </si>
  <si>
    <t>I-01</t>
  </si>
  <si>
    <t>E-02</t>
  </si>
  <si>
    <t>F-02</t>
  </si>
  <si>
    <t>G-02</t>
  </si>
  <si>
    <t>H-02</t>
  </si>
  <si>
    <t>I-02</t>
  </si>
  <si>
    <t>E-03</t>
  </si>
  <si>
    <t>F-03</t>
  </si>
  <si>
    <t>G-03</t>
  </si>
  <si>
    <t>H-03</t>
  </si>
  <si>
    <t>I-03</t>
  </si>
  <si>
    <t>E-04</t>
  </si>
  <si>
    <t>F-04</t>
  </si>
  <si>
    <t>G-04</t>
  </si>
  <si>
    <t>H-04</t>
  </si>
  <si>
    <t>I-04</t>
  </si>
  <si>
    <t>E-05</t>
  </si>
  <si>
    <t>F-05</t>
  </si>
  <si>
    <t>G-05</t>
  </si>
  <si>
    <t>H-05</t>
  </si>
  <si>
    <t>I-05</t>
  </si>
  <si>
    <t>E-06</t>
  </si>
  <si>
    <t>F-06</t>
  </si>
  <si>
    <t>G-06</t>
  </si>
  <si>
    <t>H-06</t>
  </si>
  <si>
    <t>I-06</t>
  </si>
  <si>
    <t>E-07</t>
  </si>
  <si>
    <t>F-07</t>
  </si>
  <si>
    <t>G-07</t>
  </si>
  <si>
    <t>H-07</t>
  </si>
  <si>
    <t>I-07</t>
  </si>
  <si>
    <t>E-08</t>
  </si>
  <si>
    <t>F-08</t>
  </si>
  <si>
    <t>G-08</t>
  </si>
  <si>
    <t>H-08</t>
  </si>
  <si>
    <t>I-08</t>
  </si>
  <si>
    <t>E-09</t>
  </si>
  <si>
    <t>F-09</t>
  </si>
  <si>
    <t>G-09</t>
  </si>
  <si>
    <t>H-09</t>
  </si>
  <si>
    <t>I-09</t>
  </si>
  <si>
    <t>E-10</t>
  </si>
  <si>
    <t>F-10</t>
  </si>
  <si>
    <t>G-10</t>
  </si>
  <si>
    <t>H-10</t>
  </si>
  <si>
    <t>I-10</t>
  </si>
  <si>
    <t>E-11</t>
  </si>
  <si>
    <t>F-11</t>
  </si>
  <si>
    <t>G-11</t>
  </si>
  <si>
    <t>H-11</t>
  </si>
  <si>
    <t>I-11</t>
  </si>
  <si>
    <t>E-12</t>
  </si>
  <si>
    <t>F-12</t>
  </si>
  <si>
    <t>G-12</t>
  </si>
  <si>
    <t>H-12</t>
  </si>
  <si>
    <t>I-12</t>
  </si>
  <si>
    <t>E-13</t>
  </si>
  <si>
    <t>F-13</t>
  </si>
  <si>
    <t>G-13</t>
  </si>
  <si>
    <t>H-13</t>
  </si>
  <si>
    <t>I-13</t>
  </si>
  <si>
    <t>E-14</t>
  </si>
  <si>
    <t>F-14</t>
  </si>
  <si>
    <t>G-14</t>
  </si>
  <si>
    <t>H-14</t>
  </si>
  <si>
    <t>I-14</t>
  </si>
  <si>
    <t>E-15</t>
  </si>
  <si>
    <t>F-15</t>
  </si>
  <si>
    <t>G-15</t>
  </si>
  <si>
    <t>H-15</t>
  </si>
  <si>
    <t>I-15</t>
  </si>
  <si>
    <t>E-16</t>
  </si>
  <si>
    <t>F-16</t>
  </si>
  <si>
    <t>G-16</t>
  </si>
  <si>
    <t>H-16</t>
  </si>
  <si>
    <t>I-16</t>
  </si>
  <si>
    <t>E-17</t>
  </si>
  <si>
    <t>F-17</t>
  </si>
  <si>
    <t>G-17</t>
  </si>
  <si>
    <t>H-17</t>
  </si>
  <si>
    <t>I-17</t>
  </si>
  <si>
    <t>E-18</t>
  </si>
  <si>
    <t>F-18</t>
  </si>
  <si>
    <t>G-18</t>
  </si>
  <si>
    <t>H-18</t>
  </si>
  <si>
    <t>I-18</t>
  </si>
  <si>
    <t>E-19</t>
  </si>
  <si>
    <t>F-19</t>
  </si>
  <si>
    <t>G-19</t>
  </si>
  <si>
    <t>H-19</t>
  </si>
  <si>
    <t>I-19</t>
  </si>
  <si>
    <t>E-20</t>
  </si>
  <si>
    <t>F-20</t>
  </si>
  <si>
    <t>G-20</t>
  </si>
  <si>
    <t>H-20</t>
  </si>
  <si>
    <t>I-20</t>
  </si>
  <si>
    <t>E-21</t>
  </si>
  <si>
    <t>F-21</t>
  </si>
  <si>
    <t>G-21</t>
  </si>
  <si>
    <t>H-21</t>
  </si>
  <si>
    <t>I-21</t>
  </si>
  <si>
    <t>E-22</t>
  </si>
  <si>
    <t>F-22</t>
  </si>
  <si>
    <t>G-22</t>
  </si>
  <si>
    <t>H-22</t>
  </si>
  <si>
    <t>I-22</t>
  </si>
  <si>
    <t>E-23</t>
  </si>
  <si>
    <t>F-23</t>
  </si>
  <si>
    <t>G-23</t>
  </si>
  <si>
    <t>H-23</t>
  </si>
  <si>
    <t>I-23</t>
  </si>
  <si>
    <t>E-24</t>
  </si>
  <si>
    <t>F-24</t>
  </si>
  <si>
    <t>G-24</t>
  </si>
  <si>
    <t>H-24</t>
  </si>
  <si>
    <t>I-24</t>
  </si>
  <si>
    <t>E-25</t>
  </si>
  <si>
    <t>F-25</t>
  </si>
  <si>
    <t>G-25</t>
  </si>
  <si>
    <t>H-25</t>
  </si>
  <si>
    <t>I-25</t>
  </si>
  <si>
    <t>E-26</t>
  </si>
  <si>
    <t>F-26</t>
  </si>
  <si>
    <t>G-26</t>
  </si>
  <si>
    <t>H-26</t>
  </si>
  <si>
    <t>I-26</t>
  </si>
  <si>
    <t>E-27</t>
  </si>
  <si>
    <t>F-27</t>
  </si>
  <si>
    <t>G-27</t>
  </si>
  <si>
    <t>H-27</t>
  </si>
  <si>
    <t>I-27</t>
  </si>
  <si>
    <t>E-28</t>
  </si>
  <si>
    <t>F-28</t>
  </si>
  <si>
    <t>G-28</t>
  </si>
  <si>
    <t>H-28</t>
  </si>
  <si>
    <t>I-28</t>
  </si>
  <si>
    <t>E-29</t>
  </si>
  <si>
    <t>F-29</t>
  </si>
  <si>
    <t>G-29</t>
  </si>
  <si>
    <t>H-29</t>
  </si>
  <si>
    <t>I-29</t>
  </si>
  <si>
    <t>E-30</t>
  </si>
  <si>
    <t>F-30</t>
  </si>
  <si>
    <t>G-30</t>
  </si>
  <si>
    <t>H-30</t>
  </si>
  <si>
    <t>I-30</t>
  </si>
  <si>
    <t>E-31</t>
  </si>
  <si>
    <t>F-31</t>
  </si>
  <si>
    <t>G-31</t>
  </si>
  <si>
    <t>H-31</t>
  </si>
  <si>
    <t>I-31</t>
  </si>
  <si>
    <t>E-32</t>
  </si>
  <si>
    <t>F-32</t>
  </si>
  <si>
    <t>G-32</t>
  </si>
  <si>
    <t>H-32</t>
  </si>
  <si>
    <t>I-32</t>
  </si>
  <si>
    <t>E-33</t>
  </si>
  <si>
    <t>F-33</t>
  </si>
  <si>
    <t>G-33</t>
  </si>
  <si>
    <t>H-33</t>
  </si>
  <si>
    <t>I-33</t>
  </si>
  <si>
    <t>E-34</t>
  </si>
  <si>
    <t>F-34</t>
  </si>
  <si>
    <t>G-34</t>
  </si>
  <si>
    <t>H-34</t>
  </si>
  <si>
    <t>I-34</t>
  </si>
  <si>
    <t>E-35</t>
  </si>
  <si>
    <t>F-35</t>
  </si>
  <si>
    <t>G-35</t>
  </si>
  <si>
    <t>H-35</t>
  </si>
  <si>
    <t>I-35</t>
  </si>
  <si>
    <t>E-36</t>
  </si>
  <si>
    <t>F-36</t>
  </si>
  <si>
    <t>G-36</t>
  </si>
  <si>
    <t>H-36</t>
  </si>
  <si>
    <t>I-36</t>
  </si>
  <si>
    <t>E-37</t>
  </si>
  <si>
    <t>F-37</t>
  </si>
  <si>
    <t>G-37</t>
  </si>
  <si>
    <t>H-37</t>
  </si>
  <si>
    <t>I-37</t>
  </si>
  <si>
    <t>E-38</t>
  </si>
  <si>
    <t>F-38</t>
  </si>
  <si>
    <t>G-38</t>
  </si>
  <si>
    <t>H-38</t>
  </si>
  <si>
    <t>I-38</t>
  </si>
  <si>
    <t>E-39</t>
  </si>
  <si>
    <t>F-39</t>
  </si>
  <si>
    <t>G-39</t>
  </si>
  <si>
    <t>H-39</t>
  </si>
  <si>
    <t>I-39</t>
  </si>
  <si>
    <t>E-40</t>
  </si>
  <si>
    <t>F-40</t>
  </si>
  <si>
    <t>G-40</t>
  </si>
  <si>
    <t>H-40</t>
  </si>
  <si>
    <t>I-40</t>
  </si>
  <si>
    <t>E-41</t>
  </si>
  <si>
    <t>F-41</t>
  </si>
  <si>
    <t>G-41</t>
  </si>
  <si>
    <t>H-41</t>
  </si>
  <si>
    <t>I-41</t>
  </si>
  <si>
    <t>E-42</t>
  </si>
  <si>
    <t>F-42</t>
  </si>
  <si>
    <t>G-42</t>
  </si>
  <si>
    <t>H-42</t>
  </si>
  <si>
    <t>I-42</t>
  </si>
  <si>
    <t>E-43</t>
  </si>
  <si>
    <t>F-43</t>
  </si>
  <si>
    <t>G-43</t>
  </si>
  <si>
    <t>H-43</t>
  </si>
  <si>
    <t>I-43</t>
  </si>
  <si>
    <t>E-44</t>
  </si>
  <si>
    <t>F-44</t>
  </si>
  <si>
    <t>G-44</t>
  </si>
  <si>
    <t>H-44</t>
  </si>
  <si>
    <t>I-44</t>
  </si>
  <si>
    <t>E-45</t>
  </si>
  <si>
    <t>F-45</t>
  </si>
  <si>
    <t>G-45</t>
  </si>
  <si>
    <t>H-45</t>
  </si>
  <si>
    <t>I-45</t>
  </si>
  <si>
    <t>Beginning A</t>
  </si>
  <si>
    <t>Beginning B</t>
  </si>
  <si>
    <t>Beginning C</t>
  </si>
  <si>
    <t>Middle D</t>
  </si>
  <si>
    <t>Middle E</t>
  </si>
  <si>
    <t>Middle F</t>
  </si>
  <si>
    <t>End G</t>
  </si>
  <si>
    <t>End H</t>
  </si>
  <si>
    <t>End I</t>
  </si>
  <si>
    <t>before</t>
  </si>
  <si>
    <t>Test list</t>
  </si>
  <si>
    <t>Notes</t>
  </si>
  <si>
    <t>SDLAtlas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</si>
  <si>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</si>
  <si>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</si>
  <si>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</si>
  <si>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</si>
  <si>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</si>
  <si>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</si>
  <si>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</si>
  <si>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</si>
  <si>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</si>
  <si>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batch 1</t>
  </si>
  <si>
    <t>38, 6, 45, 24</t>
  </si>
  <si>
    <t>3, 22, 32, 42</t>
  </si>
  <si>
    <t>32, 41, 2, 12</t>
  </si>
  <si>
    <t>22, 42, 12, 32</t>
  </si>
  <si>
    <t>4, 5, 3, 2</t>
  </si>
  <si>
    <t>4, 5, 2</t>
  </si>
  <si>
    <t>42, 1, 32, 21</t>
  </si>
  <si>
    <t>X</t>
  </si>
  <si>
    <t>21, 11, 2, 41</t>
  </si>
  <si>
    <t>11, 22, 7, 39</t>
  </si>
  <si>
    <t>31, 3, 11, 21</t>
  </si>
  <si>
    <t>1, 42, 21, 31</t>
  </si>
  <si>
    <t>3, 12, 10, 6</t>
  </si>
  <si>
    <t>10, 9, 8, 7, 6</t>
  </si>
  <si>
    <t>2, 42, 11, 21</t>
  </si>
  <si>
    <t>31, 22, 41, 11</t>
  </si>
  <si>
    <t>date</t>
  </si>
  <si>
    <t>61.1.</t>
  </si>
  <si>
    <t>BD = 8.3820</t>
  </si>
  <si>
    <t>BD = 8.4018</t>
  </si>
  <si>
    <t>BD = 8.3800</t>
  </si>
  <si>
    <t>BD = 8.3944</t>
  </si>
  <si>
    <t>timer mishap</t>
  </si>
  <si>
    <t>presoak</t>
  </si>
  <si>
    <t>speed slightly off</t>
  </si>
  <si>
    <t>during</t>
  </si>
  <si>
    <t>BD = 8.3752</t>
  </si>
  <si>
    <t>BD = 8.3900</t>
  </si>
  <si>
    <t>error in timer</t>
  </si>
  <si>
    <t>32, 12, 22, 3, 41</t>
  </si>
  <si>
    <t>11, 5, 3, 7, 9</t>
  </si>
  <si>
    <t>8/9/2010 - 8/18/2010</t>
  </si>
  <si>
    <t>Ave. Wt before Preconditioning</t>
  </si>
  <si>
    <t>Ave. Wt after Preconditioning</t>
  </si>
  <si>
    <t>L shrink</t>
  </si>
  <si>
    <t>W shrink</t>
  </si>
  <si>
    <t>A</t>
  </si>
  <si>
    <t>C</t>
  </si>
  <si>
    <t>D</t>
  </si>
  <si>
    <t>E</t>
  </si>
  <si>
    <t>G</t>
  </si>
  <si>
    <t>H</t>
  </si>
  <si>
    <t>I</t>
  </si>
  <si>
    <t>B</t>
  </si>
  <si>
    <t>Wt loss</t>
  </si>
  <si>
    <t>Maximum:</t>
  </si>
  <si>
    <t xml:space="preserve"> </t>
  </si>
  <si>
    <t>8, 7 , 9, 10</t>
  </si>
  <si>
    <t>Table 2.6.5 - Ave RMC Values (lot #19)</t>
  </si>
  <si>
    <t>56.6.</t>
  </si>
  <si>
    <t>Ran 3 batches at a time</t>
  </si>
  <si>
    <t>8/25/2010 - 8/27/2010</t>
  </si>
  <si>
    <t>Excluding Groups A &amp; 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</si>
</sst>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0.00000"/>
    <numFmt numFmtId="169" formatCode="0.00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[$-409]dddd\,\ mmmm\ dd\,\ yyyy"/>
    <numFmt numFmtId="177" formatCode="0.000000000000"/>
    <numFmt numFmtId="178" formatCode="0.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m/d;@"/>
  </numFmts>
  <fonts count="7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8"/>
      <color indexed="8"/>
      <name val="Arial"/>
      <family val="2"/>
    </font>
    <font>
      <sz val="7.75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Calibri"/>
      <family val="2"/>
    </font>
    <font>
      <vertAlign val="superscript"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7" fontId="0" fillId="0" borderId="10" xfId="6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69" fontId="0" fillId="0" borderId="0" xfId="60" applyNumberFormat="1" applyFont="1" applyAlignment="1" applyProtection="1">
      <alignment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right"/>
      <protection/>
    </xf>
    <xf numFmtId="166" fontId="4" fillId="33" borderId="24" xfId="0" applyNumberFormat="1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right"/>
      <protection/>
    </xf>
    <xf numFmtId="166" fontId="4" fillId="33" borderId="26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1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10" fontId="1" fillId="0" borderId="16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167" fontId="0" fillId="0" borderId="43" xfId="0" applyNumberFormat="1" applyBorder="1" applyAlignment="1" applyProtection="1">
      <alignment/>
      <protection/>
    </xf>
    <xf numFmtId="167" fontId="0" fillId="0" borderId="44" xfId="0" applyNumberFormat="1" applyBorder="1" applyAlignment="1" applyProtection="1">
      <alignment/>
      <protection/>
    </xf>
    <xf numFmtId="167" fontId="0" fillId="0" borderId="45" xfId="0" applyNumberFormat="1" applyBorder="1" applyAlignment="1" applyProtection="1">
      <alignment/>
      <protection/>
    </xf>
    <xf numFmtId="167" fontId="0" fillId="0" borderId="44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7" fontId="0" fillId="0" borderId="47" xfId="0" applyNumberFormat="1" applyBorder="1" applyAlignment="1" applyProtection="1">
      <alignment/>
      <protection/>
    </xf>
    <xf numFmtId="0" fontId="0" fillId="0" borderId="27" xfId="0" applyFont="1" applyBorder="1" applyAlignment="1" applyProtection="1">
      <alignment wrapText="1"/>
      <protection/>
    </xf>
    <xf numFmtId="0" fontId="0" fillId="0" borderId="48" xfId="0" applyBorder="1" applyAlignment="1" applyProtection="1">
      <alignment horizontal="center" wrapText="1"/>
      <protection/>
    </xf>
    <xf numFmtId="167" fontId="0" fillId="0" borderId="30" xfId="60" applyNumberFormat="1" applyFont="1" applyBorder="1" applyAlignment="1" applyProtection="1">
      <alignment/>
      <protection/>
    </xf>
    <xf numFmtId="167" fontId="0" fillId="0" borderId="31" xfId="60" applyNumberFormat="1" applyFont="1" applyBorder="1" applyAlignment="1" applyProtection="1">
      <alignment/>
      <protection/>
    </xf>
    <xf numFmtId="167" fontId="0" fillId="0" borderId="32" xfId="60" applyNumberFormat="1" applyFont="1" applyBorder="1" applyAlignment="1" applyProtection="1">
      <alignment/>
      <protection/>
    </xf>
    <xf numFmtId="167" fontId="0" fillId="0" borderId="49" xfId="60" applyNumberFormat="1" applyFont="1" applyBorder="1" applyAlignment="1" applyProtection="1">
      <alignment/>
      <protection/>
    </xf>
    <xf numFmtId="167" fontId="0" fillId="0" borderId="50" xfId="60" applyNumberFormat="1" applyFont="1" applyBorder="1" applyAlignment="1" applyProtection="1">
      <alignment/>
      <protection/>
    </xf>
    <xf numFmtId="167" fontId="0" fillId="0" borderId="51" xfId="60" applyNumberFormat="1" applyFont="1" applyBorder="1" applyAlignment="1" applyProtection="1">
      <alignment/>
      <protection/>
    </xf>
    <xf numFmtId="167" fontId="0" fillId="0" borderId="52" xfId="60" applyNumberFormat="1" applyFont="1" applyBorder="1" applyAlignment="1" applyProtection="1">
      <alignment/>
      <protection/>
    </xf>
    <xf numFmtId="167" fontId="0" fillId="0" borderId="53" xfId="60" applyNumberFormat="1" applyFont="1" applyBorder="1" applyAlignment="1" applyProtection="1">
      <alignment/>
      <protection/>
    </xf>
    <xf numFmtId="167" fontId="0" fillId="0" borderId="54" xfId="60" applyNumberFormat="1" applyFont="1" applyBorder="1" applyAlignment="1" applyProtection="1">
      <alignment/>
      <protection/>
    </xf>
    <xf numFmtId="169" fontId="0" fillId="0" borderId="30" xfId="60" applyNumberFormat="1" applyFont="1" applyBorder="1" applyAlignment="1" applyProtection="1">
      <alignment/>
      <protection/>
    </xf>
    <xf numFmtId="169" fontId="0" fillId="0" borderId="31" xfId="60" applyNumberFormat="1" applyFont="1" applyBorder="1" applyAlignment="1" applyProtection="1">
      <alignment/>
      <protection/>
    </xf>
    <xf numFmtId="169" fontId="0" fillId="0" borderId="32" xfId="60" applyNumberFormat="1" applyFont="1" applyBorder="1" applyAlignment="1" applyProtection="1">
      <alignment/>
      <protection/>
    </xf>
    <xf numFmtId="169" fontId="0" fillId="0" borderId="50" xfId="60" applyNumberFormat="1" applyFont="1" applyBorder="1" applyAlignment="1" applyProtection="1">
      <alignment/>
      <protection/>
    </xf>
    <xf numFmtId="169" fontId="0" fillId="0" borderId="49" xfId="60" applyNumberFormat="1" applyFont="1" applyBorder="1" applyAlignment="1" applyProtection="1">
      <alignment/>
      <protection/>
    </xf>
    <xf numFmtId="0" fontId="64" fillId="0" borderId="13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51" xfId="0" applyFont="1" applyFill="1" applyBorder="1" applyAlignment="1">
      <alignment horizontal="right"/>
    </xf>
    <xf numFmtId="0" fontId="15" fillId="0" borderId="5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6" fillId="35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36" borderId="15" xfId="0" applyFill="1" applyBorder="1" applyAlignment="1">
      <alignment horizontal="center"/>
    </xf>
    <xf numFmtId="10" fontId="0" fillId="36" borderId="10" xfId="0" applyNumberFormat="1" applyFill="1" applyBorder="1" applyAlignment="1">
      <alignment horizontal="center"/>
    </xf>
    <xf numFmtId="10" fontId="0" fillId="36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0" fontId="0" fillId="0" borderId="56" xfId="0" applyNumberFormat="1" applyBorder="1" applyAlignment="1">
      <alignment horizontal="center"/>
    </xf>
    <xf numFmtId="167" fontId="64" fillId="0" borderId="57" xfId="0" applyNumberFormat="1" applyFont="1" applyBorder="1" applyAlignment="1">
      <alignment horizontal="center"/>
    </xf>
    <xf numFmtId="167" fontId="64" fillId="0" borderId="13" xfId="0" applyNumberFormat="1" applyFont="1" applyBorder="1" applyAlignment="1">
      <alignment horizontal="center"/>
    </xf>
    <xf numFmtId="167" fontId="64" fillId="0" borderId="15" xfId="0" applyNumberFormat="1" applyFont="1" applyBorder="1" applyAlignment="1">
      <alignment horizontal="center"/>
    </xf>
    <xf numFmtId="167" fontId="64" fillId="0" borderId="17" xfId="0" applyNumberFormat="1" applyFont="1" applyBorder="1" applyAlignment="1">
      <alignment horizontal="center"/>
    </xf>
    <xf numFmtId="167" fontId="64" fillId="0" borderId="18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8" xfId="0" applyFont="1" applyBorder="1" applyAlignment="1">
      <alignment/>
    </xf>
    <xf numFmtId="0" fontId="0" fillId="0" borderId="36" xfId="0" applyFont="1" applyBorder="1" applyAlignment="1">
      <alignment/>
    </xf>
    <xf numFmtId="165" fontId="64" fillId="0" borderId="13" xfId="0" applyNumberFormat="1" applyFont="1" applyBorder="1" applyAlignment="1">
      <alignment horizontal="center"/>
    </xf>
    <xf numFmtId="165" fontId="64" fillId="0" borderId="51" xfId="0" applyNumberFormat="1" applyFont="1" applyBorder="1" applyAlignment="1">
      <alignment horizontal="center"/>
    </xf>
    <xf numFmtId="165" fontId="64" fillId="0" borderId="15" xfId="0" applyNumberFormat="1" applyFont="1" applyBorder="1" applyAlignment="1">
      <alignment horizontal="center"/>
    </xf>
    <xf numFmtId="165" fontId="64" fillId="0" borderId="52" xfId="0" applyNumberFormat="1" applyFont="1" applyBorder="1" applyAlignment="1">
      <alignment horizontal="center"/>
    </xf>
    <xf numFmtId="165" fontId="64" fillId="0" borderId="55" xfId="0" applyNumberFormat="1" applyFont="1" applyBorder="1" applyAlignment="1">
      <alignment horizontal="center"/>
    </xf>
    <xf numFmtId="165" fontId="64" fillId="0" borderId="59" xfId="0" applyNumberFormat="1" applyFont="1" applyBorder="1" applyAlignment="1">
      <alignment horizontal="center"/>
    </xf>
    <xf numFmtId="165" fontId="64" fillId="0" borderId="17" xfId="0" applyNumberFormat="1" applyFont="1" applyBorder="1" applyAlignment="1">
      <alignment horizontal="center"/>
    </xf>
    <xf numFmtId="165" fontId="64" fillId="0" borderId="53" xfId="0" applyNumberFormat="1" applyFont="1" applyBorder="1" applyAlignment="1">
      <alignment horizontal="center"/>
    </xf>
    <xf numFmtId="1" fontId="64" fillId="0" borderId="14" xfId="0" applyNumberFormat="1" applyFont="1" applyBorder="1" applyAlignment="1">
      <alignment horizontal="center"/>
    </xf>
    <xf numFmtId="1" fontId="64" fillId="0" borderId="16" xfId="0" applyNumberFormat="1" applyFont="1" applyBorder="1" applyAlignment="1">
      <alignment horizontal="center"/>
    </xf>
    <xf numFmtId="1" fontId="64" fillId="0" borderId="60" xfId="0" applyNumberFormat="1" applyFont="1" applyBorder="1" applyAlignment="1">
      <alignment horizontal="center"/>
    </xf>
    <xf numFmtId="1" fontId="64" fillId="0" borderId="18" xfId="0" applyNumberFormat="1" applyFont="1" applyBorder="1" applyAlignment="1">
      <alignment horizontal="center"/>
    </xf>
    <xf numFmtId="0" fontId="12" fillId="0" borderId="0" xfId="57" applyBorder="1" applyAlignment="1">
      <alignment horizontal="center"/>
      <protection/>
    </xf>
    <xf numFmtId="2" fontId="12" fillId="0" borderId="0" xfId="57" applyNumberFormat="1" applyBorder="1" applyAlignment="1">
      <alignment horizontal="center"/>
      <protection/>
    </xf>
    <xf numFmtId="10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0" fillId="0" borderId="61" xfId="0" applyFill="1" applyBorder="1" applyAlignment="1">
      <alignment/>
    </xf>
    <xf numFmtId="166" fontId="0" fillId="0" borderId="13" xfId="0" applyNumberFormat="1" applyFill="1" applyBorder="1" applyAlignment="1">
      <alignment horizontal="center"/>
    </xf>
    <xf numFmtId="166" fontId="0" fillId="0" borderId="62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6" fontId="12" fillId="0" borderId="13" xfId="57" applyNumberFormat="1" applyBorder="1" applyAlignment="1">
      <alignment horizontal="center"/>
      <protection/>
    </xf>
    <xf numFmtId="166" fontId="12" fillId="0" borderId="41" xfId="57" applyNumberFormat="1" applyBorder="1" applyAlignment="1">
      <alignment horizontal="center"/>
      <protection/>
    </xf>
    <xf numFmtId="166" fontId="12" fillId="0" borderId="46" xfId="57" applyNumberFormat="1" applyBorder="1" applyAlignment="1">
      <alignment horizontal="center"/>
      <protection/>
    </xf>
    <xf numFmtId="166" fontId="12" fillId="0" borderId="15" xfId="57" applyNumberFormat="1" applyBorder="1" applyAlignment="1">
      <alignment horizontal="center"/>
      <protection/>
    </xf>
    <xf numFmtId="166" fontId="12" fillId="0" borderId="16" xfId="57" applyNumberFormat="1" applyBorder="1" applyAlignment="1">
      <alignment horizontal="center"/>
      <protection/>
    </xf>
    <xf numFmtId="166" fontId="12" fillId="0" borderId="11" xfId="57" applyNumberFormat="1" applyBorder="1" applyAlignment="1">
      <alignment horizontal="center"/>
      <protection/>
    </xf>
    <xf numFmtId="166" fontId="12" fillId="0" borderId="17" xfId="57" applyNumberFormat="1" applyBorder="1" applyAlignment="1">
      <alignment horizontal="center"/>
      <protection/>
    </xf>
    <xf numFmtId="166" fontId="12" fillId="0" borderId="42" xfId="57" applyNumberFormat="1" applyBorder="1" applyAlignment="1">
      <alignment horizontal="center"/>
      <protection/>
    </xf>
    <xf numFmtId="166" fontId="12" fillId="0" borderId="18" xfId="57" applyNumberFormat="1" applyBorder="1" applyAlignment="1">
      <alignment horizontal="center"/>
      <protection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4" fontId="64" fillId="0" borderId="51" xfId="0" applyNumberFormat="1" applyFont="1" applyBorder="1" applyAlignment="1">
      <alignment horizontal="center"/>
    </xf>
    <xf numFmtId="164" fontId="64" fillId="0" borderId="14" xfId="0" applyNumberFormat="1" applyFont="1" applyBorder="1" applyAlignment="1">
      <alignment horizontal="center"/>
    </xf>
    <xf numFmtId="164" fontId="64" fillId="0" borderId="52" xfId="0" applyNumberFormat="1" applyFont="1" applyBorder="1" applyAlignment="1">
      <alignment horizontal="center"/>
    </xf>
    <xf numFmtId="164" fontId="64" fillId="0" borderId="16" xfId="0" applyNumberFormat="1" applyFont="1" applyFill="1" applyBorder="1" applyAlignment="1">
      <alignment horizontal="center"/>
    </xf>
    <xf numFmtId="164" fontId="64" fillId="0" borderId="59" xfId="0" applyNumberFormat="1" applyFont="1" applyBorder="1" applyAlignment="1">
      <alignment horizontal="center"/>
    </xf>
    <xf numFmtId="164" fontId="64" fillId="0" borderId="60" xfId="0" applyNumberFormat="1" applyFont="1" applyFill="1" applyBorder="1" applyAlignment="1">
      <alignment horizontal="center"/>
    </xf>
    <xf numFmtId="164" fontId="64" fillId="0" borderId="14" xfId="0" applyNumberFormat="1" applyFont="1" applyFill="1" applyBorder="1" applyAlignment="1">
      <alignment horizontal="center"/>
    </xf>
    <xf numFmtId="164" fontId="64" fillId="0" borderId="53" xfId="0" applyNumberFormat="1" applyFont="1" applyBorder="1" applyAlignment="1">
      <alignment horizontal="center"/>
    </xf>
    <xf numFmtId="164" fontId="64" fillId="0" borderId="16" xfId="0" applyNumberFormat="1" applyFont="1" applyBorder="1" applyAlignment="1">
      <alignment horizontal="center"/>
    </xf>
    <xf numFmtId="164" fontId="64" fillId="0" borderId="60" xfId="0" applyNumberFormat="1" applyFont="1" applyBorder="1" applyAlignment="1">
      <alignment horizontal="center"/>
    </xf>
    <xf numFmtId="164" fontId="64" fillId="0" borderId="18" xfId="0" applyNumberFormat="1" applyFont="1" applyBorder="1" applyAlignment="1">
      <alignment horizontal="center"/>
    </xf>
    <xf numFmtId="164" fontId="64" fillId="0" borderId="52" xfId="0" applyNumberFormat="1" applyFont="1" applyFill="1" applyBorder="1" applyAlignment="1">
      <alignment horizontal="center"/>
    </xf>
    <xf numFmtId="164" fontId="64" fillId="0" borderId="59" xfId="0" applyNumberFormat="1" applyFont="1" applyFill="1" applyBorder="1" applyAlignment="1">
      <alignment horizontal="center"/>
    </xf>
    <xf numFmtId="164" fontId="64" fillId="0" borderId="51" xfId="0" applyNumberFormat="1" applyFont="1" applyFill="1" applyBorder="1" applyAlignment="1">
      <alignment horizontal="center"/>
    </xf>
    <xf numFmtId="164" fontId="64" fillId="0" borderId="53" xfId="0" applyNumberFormat="1" applyFont="1" applyFill="1" applyBorder="1" applyAlignment="1">
      <alignment horizontal="center"/>
    </xf>
    <xf numFmtId="164" fontId="64" fillId="0" borderId="18" xfId="0" applyNumberFormat="1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36" xfId="0" applyFont="1" applyBorder="1" applyAlignment="1" applyProtection="1">
      <alignment wrapText="1"/>
      <protection/>
    </xf>
    <xf numFmtId="167" fontId="7" fillId="0" borderId="48" xfId="0" applyNumberFormat="1" applyFont="1" applyFill="1" applyBorder="1" applyAlignment="1">
      <alignment horizontal="center"/>
    </xf>
    <xf numFmtId="167" fontId="7" fillId="0" borderId="36" xfId="0" applyNumberFormat="1" applyFont="1" applyBorder="1" applyAlignment="1">
      <alignment horizontal="center"/>
    </xf>
    <xf numFmtId="167" fontId="7" fillId="0" borderId="63" xfId="0" applyNumberFormat="1" applyFont="1" applyFill="1" applyBorder="1" applyAlignment="1" quotePrefix="1">
      <alignment horizontal="center"/>
    </xf>
    <xf numFmtId="167" fontId="7" fillId="0" borderId="37" xfId="0" applyNumberFormat="1" applyFont="1" applyBorder="1" applyAlignment="1">
      <alignment horizontal="center"/>
    </xf>
    <xf numFmtId="167" fontId="7" fillId="0" borderId="63" xfId="0" applyNumberFormat="1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167" fontId="7" fillId="0" borderId="48" xfId="0" applyNumberFormat="1" applyFont="1" applyBorder="1" applyAlignment="1">
      <alignment horizontal="center"/>
    </xf>
    <xf numFmtId="167" fontId="7" fillId="0" borderId="64" xfId="0" applyNumberFormat="1" applyFont="1" applyBorder="1" applyAlignment="1">
      <alignment horizontal="center"/>
    </xf>
    <xf numFmtId="167" fontId="7" fillId="0" borderId="65" xfId="0" applyNumberFormat="1" applyFont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37" xfId="0" applyNumberFormat="1" applyFont="1" applyBorder="1" applyAlignment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167" fontId="7" fillId="0" borderId="38" xfId="0" applyNumberFormat="1" applyFont="1" applyBorder="1" applyAlignment="1">
      <alignment horizontal="center" vertical="center"/>
    </xf>
    <xf numFmtId="167" fontId="7" fillId="0" borderId="65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165" fontId="64" fillId="0" borderId="10" xfId="0" applyNumberFormat="1" applyFont="1" applyBorder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65" fontId="64" fillId="0" borderId="12" xfId="0" applyNumberFormat="1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165" fontId="64" fillId="0" borderId="66" xfId="0" applyNumberFormat="1" applyFont="1" applyBorder="1" applyAlignment="1">
      <alignment horizontal="center"/>
    </xf>
    <xf numFmtId="165" fontId="64" fillId="0" borderId="62" xfId="0" applyNumberFormat="1" applyFont="1" applyBorder="1" applyAlignment="1">
      <alignment horizontal="center"/>
    </xf>
    <xf numFmtId="165" fontId="64" fillId="0" borderId="56" xfId="0" applyNumberFormat="1" applyFont="1" applyBorder="1" applyAlignment="1">
      <alignment horizontal="center"/>
    </xf>
    <xf numFmtId="165" fontId="64" fillId="0" borderId="57" xfId="0" applyNumberFormat="1" applyFont="1" applyBorder="1" applyAlignment="1">
      <alignment horizontal="center"/>
    </xf>
    <xf numFmtId="1" fontId="64" fillId="0" borderId="67" xfId="0" applyNumberFormat="1" applyFont="1" applyBorder="1" applyAlignment="1">
      <alignment horizontal="center"/>
    </xf>
    <xf numFmtId="1" fontId="64" fillId="0" borderId="11" xfId="0" applyNumberFormat="1" applyFont="1" applyBorder="1" applyAlignment="1">
      <alignment horizontal="center"/>
    </xf>
    <xf numFmtId="1" fontId="64" fillId="0" borderId="68" xfId="0" applyNumberFormat="1" applyFont="1" applyBorder="1" applyAlignment="1">
      <alignment horizontal="center"/>
    </xf>
    <xf numFmtId="1" fontId="64" fillId="0" borderId="41" xfId="0" applyNumberFormat="1" applyFont="1" applyBorder="1" applyAlignment="1">
      <alignment horizontal="center"/>
    </xf>
    <xf numFmtId="1" fontId="64" fillId="0" borderId="42" xfId="0" applyNumberFormat="1" applyFont="1" applyBorder="1" applyAlignment="1">
      <alignment horizontal="center"/>
    </xf>
    <xf numFmtId="1" fontId="64" fillId="0" borderId="46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165" fontId="64" fillId="0" borderId="0" xfId="0" applyNumberFormat="1" applyFon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71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72" xfId="0" applyNumberFormat="1" applyBorder="1" applyAlignment="1">
      <alignment horizontal="center"/>
    </xf>
    <xf numFmtId="10" fontId="0" fillId="0" borderId="73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74" xfId="0" applyNumberFormat="1" applyBorder="1" applyAlignment="1">
      <alignment horizontal="center"/>
    </xf>
    <xf numFmtId="10" fontId="0" fillId="0" borderId="75" xfId="0" applyNumberFormat="1" applyBorder="1" applyAlignment="1">
      <alignment horizontal="center"/>
    </xf>
    <xf numFmtId="10" fontId="0" fillId="0" borderId="30" xfId="0" applyNumberFormat="1" applyFont="1" applyBorder="1" applyAlignment="1">
      <alignment horizontal="center"/>
    </xf>
    <xf numFmtId="10" fontId="0" fillId="0" borderId="31" xfId="0" applyNumberFormat="1" applyFont="1" applyBorder="1" applyAlignment="1">
      <alignment horizontal="center"/>
    </xf>
    <xf numFmtId="10" fontId="0" fillId="0" borderId="32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2" fillId="0" borderId="0" xfId="57" applyNumberForma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7" fillId="0" borderId="0" xfId="0" applyFont="1" applyAlignment="1">
      <alignment horizontal="left" readingOrder="1"/>
    </xf>
    <xf numFmtId="0" fontId="68" fillId="0" borderId="0" xfId="0" applyFont="1" applyAlignment="1">
      <alignment horizontal="left" readingOrder="1"/>
    </xf>
    <xf numFmtId="0" fontId="69" fillId="35" borderId="0" xfId="0" applyFont="1" applyFill="1" applyAlignment="1">
      <alignment horizontal="left" readingOrder="1"/>
    </xf>
    <xf numFmtId="0" fontId="70" fillId="35" borderId="0" xfId="0" applyFont="1" applyFill="1" applyAlignment="1">
      <alignment horizontal="left" readingOrder="1"/>
    </xf>
    <xf numFmtId="0" fontId="0" fillId="0" borderId="31" xfId="0" applyBorder="1" applyAlignment="1">
      <alignment vertical="center"/>
    </xf>
    <xf numFmtId="0" fontId="71" fillId="35" borderId="0" xfId="0" applyFont="1" applyFill="1" applyAlignment="1">
      <alignment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165" fontId="0" fillId="0" borderId="78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5" fontId="0" fillId="0" borderId="77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18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4" fontId="0" fillId="34" borderId="52" xfId="0" applyNumberFormat="1" applyFont="1" applyFill="1" applyBorder="1" applyAlignment="1" applyProtection="1">
      <alignment horizontal="left" shrinkToFit="1"/>
      <protection locked="0"/>
    </xf>
    <xf numFmtId="0" fontId="0" fillId="34" borderId="52" xfId="0" applyFont="1" applyFill="1" applyBorder="1" applyAlignment="1" applyProtection="1">
      <alignment horizontal="left" shrinkToFit="1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54" xfId="0" applyFont="1" applyFill="1" applyBorder="1" applyAlignment="1" applyProtection="1">
      <alignment horizontal="left"/>
      <protection locked="0"/>
    </xf>
    <xf numFmtId="167" fontId="64" fillId="0" borderId="40" xfId="0" applyNumberFormat="1" applyFont="1" applyBorder="1" applyAlignment="1">
      <alignment horizontal="center" vertical="center"/>
    </xf>
    <xf numFmtId="167" fontId="64" fillId="0" borderId="7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7" fontId="64" fillId="0" borderId="6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/>
    </xf>
    <xf numFmtId="0" fontId="0" fillId="0" borderId="80" xfId="0" applyBorder="1" applyAlignment="1" applyProtection="1">
      <alignment horizontal="center" wrapText="1"/>
      <protection/>
    </xf>
    <xf numFmtId="0" fontId="0" fillId="0" borderId="3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65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wrapText="1"/>
    </xf>
    <xf numFmtId="0" fontId="0" fillId="34" borderId="5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34" borderId="54" xfId="0" applyFill="1" applyBorder="1" applyAlignment="1" applyProtection="1">
      <alignment horizontal="left"/>
      <protection locked="0"/>
    </xf>
    <xf numFmtId="14" fontId="0" fillId="34" borderId="52" xfId="0" applyNumberFormat="1" applyFill="1" applyBorder="1" applyAlignment="1" applyProtection="1">
      <alignment horizontal="left" shrinkToFit="1"/>
      <protection locked="0"/>
    </xf>
    <xf numFmtId="0" fontId="0" fillId="34" borderId="52" xfId="0" applyFill="1" applyBorder="1" applyAlignment="1" applyProtection="1">
      <alignment horizontal="left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Plot - Lot  </a:t>
            </a:r>
          </a:p>
        </c:rich>
      </c:tx>
      <c:layout>
        <c:manualLayout>
          <c:xMode val="factor"/>
          <c:yMode val="factor"/>
          <c:x val="-0.119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0475"/>
          <c:w val="0.73325"/>
          <c:h val="0.61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Analysis!$D$5</c:f>
              <c:strCache>
                <c:ptCount val="1"/>
                <c:pt idx="0">
                  <c:v>Standard Lot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Analysis!$B$36:$B$40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Analysis!$C$36:$C$40</c:f>
              <c:numCache>
                <c:ptCount val="5"/>
                <c:pt idx="0">
                  <c:v>0.49575</c:v>
                </c:pt>
                <c:pt idx="1">
                  <c:v>0.39275</c:v>
                </c:pt>
                <c:pt idx="2">
                  <c:v>0.323</c:v>
                </c:pt>
                <c:pt idx="3">
                  <c:v>0.271</c:v>
                </c:pt>
                <c:pt idx="4">
                  <c:v>0.25375000000000003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Analysis!$E$5</c:f>
              <c:strCache>
                <c:ptCount val="1"/>
                <c:pt idx="0">
                  <c:v>Uncorrected Lot 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Analysis!$B$36:$B$40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</c:numCache>
            </c:numRef>
          </c:xVal>
          <c:yVal>
            <c:numRef>
              <c:f>Analysis!$D$36:$D$40</c:f>
              <c:numCache>
                <c:ptCount val="5"/>
                <c:pt idx="0">
                  <c:v>0.6079502597560744</c:v>
                </c:pt>
                <c:pt idx="1">
                  <c:v>0.476663267238029</c:v>
                </c:pt>
                <c:pt idx="2">
                  <c:v>0.3896752662317836</c:v>
                </c:pt>
                <c:pt idx="3">
                  <c:v>0.346254692194295</c:v>
                </c:pt>
                <c:pt idx="4">
                  <c:v>0.31623448760185907</c:v>
                </c:pt>
              </c:numCache>
            </c:numRef>
          </c:yVal>
          <c:smooth val="1"/>
        </c:ser>
        <c:axId val="36135190"/>
        <c:axId val="56781255"/>
      </c:scatterChart>
      <c:valAx>
        <c:axId val="3613519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spin speed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crossBetween val="midCat"/>
        <c:dispUnits/>
      </c:valAx>
      <c:valAx>
        <c:axId val="5678125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</a:t>
                </a:r>
              </a:p>
            </c:rich>
          </c:tx>
          <c:layout>
            <c:manualLayout>
              <c:xMode val="factor"/>
              <c:yMode val="factor"/>
              <c:x val="-0.006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25"/>
          <c:w val="0.130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RMC Least Squares Fit for Lot 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68"/>
          <c:w val="0.9315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Analysis!$E$6:$E$25</c:f>
              <c:numCache>
                <c:ptCount val="20"/>
                <c:pt idx="0">
                  <c:v>0.6596422353186543</c:v>
                </c:pt>
                <c:pt idx="1">
                  <c:v>0.6224814792996444</c:v>
                </c:pt>
                <c:pt idx="2">
                  <c:v>0.580982350315781</c:v>
                </c:pt>
                <c:pt idx="3">
                  <c:v>0.5686949740902183</c:v>
                </c:pt>
                <c:pt idx="4">
                  <c:v>0.5277489531212589</c:v>
                </c:pt>
                <c:pt idx="5">
                  <c:v>0.4915350067450353</c:v>
                </c:pt>
                <c:pt idx="6">
                  <c:v>0.45321730657358605</c:v>
                </c:pt>
                <c:pt idx="7">
                  <c:v>0.43415180251223573</c:v>
                </c:pt>
                <c:pt idx="8">
                  <c:v>0.4379599287353065</c:v>
                </c:pt>
                <c:pt idx="9">
                  <c:v>0.40939146335908894</c:v>
                </c:pt>
                <c:pt idx="10">
                  <c:v>0.3619483489008635</c:v>
                </c:pt>
                <c:pt idx="11">
                  <c:v>0.3494013239318757</c:v>
                </c:pt>
                <c:pt idx="12">
                  <c:v>0.39232728903120256</c:v>
                </c:pt>
                <c:pt idx="13">
                  <c:v>0.362390203394072</c:v>
                </c:pt>
                <c:pt idx="14">
                  <c:v>0.3267987420639786</c:v>
                </c:pt>
                <c:pt idx="15">
                  <c:v>0.30350253428792673</c:v>
                </c:pt>
                <c:pt idx="16">
                  <c:v>0.3581377078126833</c:v>
                </c:pt>
                <c:pt idx="17">
                  <c:v>0.3243396965556688</c:v>
                </c:pt>
                <c:pt idx="18">
                  <c:v>0.2997101046151278</c:v>
                </c:pt>
                <c:pt idx="19">
                  <c:v>0.2827504414239564</c:v>
                </c:pt>
              </c:numCache>
            </c:numRef>
          </c:xVal>
          <c:yVal>
            <c:numRef>
              <c:f>Analysis!$D$6:$D$25</c:f>
              <c:numCache>
                <c:ptCount val="20"/>
                <c:pt idx="0">
                  <c:v>0.528</c:v>
                </c:pt>
                <c:pt idx="1">
                  <c:v>0.499</c:v>
                </c:pt>
                <c:pt idx="2">
                  <c:v>0.497</c:v>
                </c:pt>
                <c:pt idx="3">
                  <c:v>0.459</c:v>
                </c:pt>
                <c:pt idx="4">
                  <c:v>0.431</c:v>
                </c:pt>
                <c:pt idx="5">
                  <c:v>0.404</c:v>
                </c:pt>
                <c:pt idx="6">
                  <c:v>0.379</c:v>
                </c:pt>
                <c:pt idx="7">
                  <c:v>0.357</c:v>
                </c:pt>
                <c:pt idx="8">
                  <c:v>0.358</c:v>
                </c:pt>
                <c:pt idx="9">
                  <c:v>0.331</c:v>
                </c:pt>
                <c:pt idx="10">
                  <c:v>0.307</c:v>
                </c:pt>
                <c:pt idx="11">
                  <c:v>0.296</c:v>
                </c:pt>
                <c:pt idx="12">
                  <c:v>0.3</c:v>
                </c:pt>
                <c:pt idx="13">
                  <c:v>0.287</c:v>
                </c:pt>
                <c:pt idx="14">
                  <c:v>0.255</c:v>
                </c:pt>
                <c:pt idx="15">
                  <c:v>0.242</c:v>
                </c:pt>
                <c:pt idx="16">
                  <c:v>0.28</c:v>
                </c:pt>
                <c:pt idx="17">
                  <c:v>0.264</c:v>
                </c:pt>
                <c:pt idx="18">
                  <c:v>0.241</c:v>
                </c:pt>
                <c:pt idx="19">
                  <c:v>0.23</c:v>
                </c:pt>
              </c:numCache>
            </c:numRef>
          </c:yVal>
          <c:smooth val="0"/>
        </c:ser>
        <c:axId val="41269248"/>
        <c:axId val="35878913"/>
      </c:scatterChart>
      <c:valAx>
        <c:axId val="41269248"/>
        <c:scaling>
          <c:orientation val="minMax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Measured RMC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913"/>
        <c:crosses val="autoZero"/>
        <c:crossBetween val="midCat"/>
        <c:dispUnits/>
      </c:valAx>
      <c:valAx>
        <c:axId val="35878913"/>
        <c:scaling>
          <c:orientation val="minMax"/>
          <c:max val="0.6000000000000002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 Standard Lot 3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69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'Quality Check'!$AF$2</c:f>
        </c:strRef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068"/>
          <c:w val="0.820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'Quality Check'!$AG$3</c:f>
              <c:strCache>
                <c:ptCount val="1"/>
                <c:pt idx="0">
                  <c:v>%RMC - Beginning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Check'!$AG$4:$AG$12</c:f>
              <c:numCache>
                <c:ptCount val="9"/>
                <c:pt idx="0">
                  <c:v>0.3386277252289626</c:v>
                </c:pt>
                <c:pt idx="1">
                  <c:v>0.342159855494293</c:v>
                </c:pt>
                <c:pt idx="2">
                  <c:v>0.3725602254236617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'Quality Check'!$AH$3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Check'!$AH$4:$AH$12</c:f>
              <c:numCache>
                <c:ptCount val="9"/>
                <c:pt idx="0">
                  <c:v>0.35111593538230573</c:v>
                </c:pt>
                <c:pt idx="1">
                  <c:v>0.35111593538230573</c:v>
                </c:pt>
                <c:pt idx="2">
                  <c:v>0.35111593538230573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'Quality Check'!$AI$3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Check'!$AI$4:$AI$12</c:f>
              <c:numCache>
                <c:ptCount val="9"/>
                <c:pt idx="0">
                  <c:v>0.35341665907842956</c:v>
                </c:pt>
                <c:pt idx="1">
                  <c:v>0.35341665907842956</c:v>
                </c:pt>
                <c:pt idx="2">
                  <c:v>0.35341665907842956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'Quality Check'!$AJ$3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Check'!$AJ$4:$AJ$12</c:f>
              <c:numCache>
                <c:ptCount val="9"/>
                <c:pt idx="0">
                  <c:v>0.3488152116861819</c:v>
                </c:pt>
                <c:pt idx="1">
                  <c:v>0.3488152116861819</c:v>
                </c:pt>
                <c:pt idx="2">
                  <c:v>0.3488152116861819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'Quality Check'!$AK$3</c:f>
              <c:strCache>
                <c:ptCount val="1"/>
                <c:pt idx="0">
                  <c:v>%RMC - Middle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Check'!$AK$4:$AK$12</c:f>
              <c:numCache>
                <c:ptCount val="9"/>
                <c:pt idx="3">
                  <c:v>0.3592707519087887</c:v>
                </c:pt>
                <c:pt idx="4">
                  <c:v>0.3735645838283046</c:v>
                </c:pt>
                <c:pt idx="5">
                  <c:v>0.37257554184464475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'Quality Check'!$AL$3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Check'!$AL$4:$AL$12</c:f>
              <c:numCache>
                <c:ptCount val="9"/>
                <c:pt idx="3">
                  <c:v>0.36847029252724606</c:v>
                </c:pt>
                <c:pt idx="4">
                  <c:v>0.36847029252724606</c:v>
                </c:pt>
                <c:pt idx="5">
                  <c:v>0.36847029252724606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'Quality Check'!$AM$3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Check'!$AM$4:$AM$12</c:f>
              <c:numCache>
                <c:ptCount val="9"/>
                <c:pt idx="3">
                  <c:v>0.3744723760102838</c:v>
                </c:pt>
                <c:pt idx="4">
                  <c:v>0.3744723760102838</c:v>
                </c:pt>
                <c:pt idx="5">
                  <c:v>0.3744723760102838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'Quality Check'!$AN$3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Check'!$AN$4:$AN$12</c:f>
              <c:numCache>
                <c:ptCount val="9"/>
                <c:pt idx="3">
                  <c:v>0.3624682090442083</c:v>
                </c:pt>
                <c:pt idx="4">
                  <c:v>0.3624682090442083</c:v>
                </c:pt>
                <c:pt idx="5">
                  <c:v>0.3624682090442083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'Quality Check'!$AO$3</c:f>
              <c:strCache>
                <c:ptCount val="1"/>
                <c:pt idx="0">
                  <c:v>%RMC - End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'Quality Check'!$AO$4:$AO$12</c:f>
              <c:numCache>
                <c:ptCount val="9"/>
                <c:pt idx="6">
                  <c:v>0.37308441584049085</c:v>
                </c:pt>
                <c:pt idx="7">
                  <c:v>0.351841260763194</c:v>
                </c:pt>
                <c:pt idx="8">
                  <c:v>0.36889047732507346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'Quality Check'!$AP$3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Check'!$AP$4:$AP$12</c:f>
              <c:numCache>
                <c:ptCount val="9"/>
                <c:pt idx="6">
                  <c:v>0.3646053846429194</c:v>
                </c:pt>
                <c:pt idx="7">
                  <c:v>0.3646053846429194</c:v>
                </c:pt>
                <c:pt idx="8">
                  <c:v>0.3646053846429194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'Quality Check'!$AQ$3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Check'!$AQ$4:$AQ$12</c:f>
              <c:numCache>
                <c:ptCount val="9"/>
                <c:pt idx="6">
                  <c:v>0.3673492586345652</c:v>
                </c:pt>
                <c:pt idx="7">
                  <c:v>0.3673492586345652</c:v>
                </c:pt>
                <c:pt idx="8">
                  <c:v>0.3673492586345652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'Quality Check'!$AR$3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Check'!$AR$4:$AR$12</c:f>
              <c:numCache>
                <c:ptCount val="9"/>
                <c:pt idx="6">
                  <c:v>0.36186151065127364</c:v>
                </c:pt>
                <c:pt idx="7">
                  <c:v>0.36186151065127364</c:v>
                </c:pt>
                <c:pt idx="8">
                  <c:v>0.36186151065127364</c:v>
                </c:pt>
              </c:numCache>
            </c:numRef>
          </c:val>
          <c:smooth val="0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344"/>
          <c:w val="0.13925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'Quality Check'!$AF$14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068"/>
          <c:w val="0.821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'Quality Check'!$AG$15</c:f>
              <c:strCache>
                <c:ptCount val="1"/>
                <c:pt idx="0">
                  <c:v>Range - Beginning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Check'!$AG$16:$AG$24</c:f>
              <c:numCache>
                <c:ptCount val="9"/>
                <c:pt idx="0">
                  <c:v>0.001185311618424667</c:v>
                </c:pt>
                <c:pt idx="1">
                  <c:v>0.0016564518800730177</c:v>
                </c:pt>
                <c:pt idx="2">
                  <c:v>0.003905226812715823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'Quality Check'!$AH$15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Check'!$AH$16:$AH$24</c:f>
              <c:numCache>
                <c:ptCount val="9"/>
                <c:pt idx="0">
                  <c:v>0.0022489967704045024</c:v>
                </c:pt>
                <c:pt idx="1">
                  <c:v>0.0022489967704045024</c:v>
                </c:pt>
                <c:pt idx="2">
                  <c:v>0.0022489967704045024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'Quality Check'!$AI$15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Check'!$AI$16:$AI$24</c:f>
              <c:numCache>
                <c:ptCount val="9"/>
                <c:pt idx="0">
                  <c:v>0.005788917687021189</c:v>
                </c:pt>
                <c:pt idx="1">
                  <c:v>0.005788917687021189</c:v>
                </c:pt>
                <c:pt idx="2">
                  <c:v>0.005788917687021189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'Quality Check'!$AJ$15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Check'!$AJ$16:$AJ$24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'Quality Check'!$AK$15</c:f>
              <c:strCache>
                <c:ptCount val="1"/>
                <c:pt idx="0">
                  <c:v>Range - Middle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Check'!$AK$16:$AK$24</c:f>
              <c:numCache>
                <c:ptCount val="9"/>
                <c:pt idx="3">
                  <c:v>0.006395527867920525</c:v>
                </c:pt>
                <c:pt idx="4">
                  <c:v>0.00432406747445957</c:v>
                </c:pt>
                <c:pt idx="5">
                  <c:v>0.006881822496440371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'Quality Check'!$AL$15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Check'!$AL$16:$AL$24</c:f>
              <c:numCache>
                <c:ptCount val="9"/>
                <c:pt idx="3">
                  <c:v>0.005867139279606822</c:v>
                </c:pt>
                <c:pt idx="4">
                  <c:v>0.005867139279606822</c:v>
                </c:pt>
                <c:pt idx="5">
                  <c:v>0.005867139279606822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'Quality Check'!$AM$15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Check'!$AM$16:$AM$24</c:f>
              <c:numCache>
                <c:ptCount val="9"/>
                <c:pt idx="3">
                  <c:v>0.015102016505707958</c:v>
                </c:pt>
                <c:pt idx="4">
                  <c:v>0.015102016505707958</c:v>
                </c:pt>
                <c:pt idx="5">
                  <c:v>0.015102016505707958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'Quality Check'!$AN$15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Check'!$AN$16:$AN$24</c:f>
              <c:numCache>
                <c:ptCount val="9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'Quality Check'!$AO$15</c:f>
              <c:strCache>
                <c:ptCount val="1"/>
                <c:pt idx="0">
                  <c:v>Range - End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'Quality Check'!$AO$16:$AO$24</c:f>
              <c:numCache>
                <c:ptCount val="9"/>
                <c:pt idx="6">
                  <c:v>0.0010174384213141319</c:v>
                </c:pt>
                <c:pt idx="7">
                  <c:v>0.0019778858068821292</c:v>
                </c:pt>
                <c:pt idx="8">
                  <c:v>0.005051227066952713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'Quality Check'!$AP$15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Check'!$AP$16:$AP$24</c:f>
              <c:numCache>
                <c:ptCount val="9"/>
                <c:pt idx="6">
                  <c:v>0.002682183765049658</c:v>
                </c:pt>
                <c:pt idx="7">
                  <c:v>0.002682183765049658</c:v>
                </c:pt>
                <c:pt idx="8">
                  <c:v>0.002682183765049658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'Quality Check'!$AQ$15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Check'!$AQ$16:$AQ$24</c:f>
              <c:numCache>
                <c:ptCount val="9"/>
                <c:pt idx="6">
                  <c:v>0.006903941011237819</c:v>
                </c:pt>
                <c:pt idx="7">
                  <c:v>0.006903941011237819</c:v>
                </c:pt>
                <c:pt idx="8">
                  <c:v>0.006903941011237819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'Quality Check'!$AR$15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Check'!$AR$16:$AR$24</c:f>
              <c:numCache>
                <c:ptCount val="9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344"/>
          <c:w val="0.138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'Quality Check'!$AF$26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068"/>
          <c:w val="0.820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'Quality Check'!$AG$27</c:f>
              <c:strCache>
                <c:ptCount val="1"/>
                <c:pt idx="0">
                  <c:v>%RMC - Beginning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Check'!$AG$28:$AG$54</c:f>
              <c:numCache>
                <c:ptCount val="27"/>
                <c:pt idx="0">
                  <c:v>0.3381219922717681</c:v>
                </c:pt>
                <c:pt idx="1">
                  <c:v>0.33930730389019276</c:v>
                </c:pt>
                <c:pt idx="2">
                  <c:v>0.338453879524927</c:v>
                </c:pt>
                <c:pt idx="3">
                  <c:v>0.34184434085046955</c:v>
                </c:pt>
                <c:pt idx="4">
                  <c:v>0.3414893868761682</c:v>
                </c:pt>
                <c:pt idx="5">
                  <c:v>0.3431458387562412</c:v>
                </c:pt>
                <c:pt idx="6">
                  <c:v>0.37454458864150514</c:v>
                </c:pt>
                <c:pt idx="7">
                  <c:v>0.37249672580069065</c:v>
                </c:pt>
                <c:pt idx="8">
                  <c:v>0.3706393618287893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'Quality Check'!$AH$27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Check'!$AH$28:$AH$54</c:f>
              <c:numCache>
                <c:ptCount val="27"/>
                <c:pt idx="0">
                  <c:v>0.35111593538230573</c:v>
                </c:pt>
                <c:pt idx="1">
                  <c:v>0.35111593538230573</c:v>
                </c:pt>
                <c:pt idx="2">
                  <c:v>0.35111593538230573</c:v>
                </c:pt>
                <c:pt idx="3">
                  <c:v>0.35111593538230573</c:v>
                </c:pt>
                <c:pt idx="4">
                  <c:v>0.35111593538230573</c:v>
                </c:pt>
                <c:pt idx="5">
                  <c:v>0.35111593538230573</c:v>
                </c:pt>
                <c:pt idx="6">
                  <c:v>0.35111593538230573</c:v>
                </c:pt>
                <c:pt idx="7">
                  <c:v>0.35111593538230573</c:v>
                </c:pt>
                <c:pt idx="8">
                  <c:v>0.35111593538230573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'Quality Check'!$AI$27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Check'!$AI$28:$AI$54</c:f>
              <c:numCache>
                <c:ptCount val="27"/>
                <c:pt idx="0">
                  <c:v>0.3996980328721387</c:v>
                </c:pt>
                <c:pt idx="1">
                  <c:v>0.3996980328721387</c:v>
                </c:pt>
                <c:pt idx="2">
                  <c:v>0.3996980328721387</c:v>
                </c:pt>
                <c:pt idx="3">
                  <c:v>0.3996980328721387</c:v>
                </c:pt>
                <c:pt idx="4">
                  <c:v>0.3996980328721387</c:v>
                </c:pt>
                <c:pt idx="5">
                  <c:v>0.3996980328721387</c:v>
                </c:pt>
                <c:pt idx="6">
                  <c:v>0.3996980328721387</c:v>
                </c:pt>
                <c:pt idx="7">
                  <c:v>0.3996980328721387</c:v>
                </c:pt>
                <c:pt idx="8">
                  <c:v>0.3996980328721387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'Quality Check'!$AJ$27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Check'!$AJ$28:$AJ$54</c:f>
              <c:numCache>
                <c:ptCount val="27"/>
                <c:pt idx="0">
                  <c:v>0.3025338378924728</c:v>
                </c:pt>
                <c:pt idx="1">
                  <c:v>0.3025338378924728</c:v>
                </c:pt>
                <c:pt idx="2">
                  <c:v>0.3025338378924728</c:v>
                </c:pt>
                <c:pt idx="3">
                  <c:v>0.3025338378924728</c:v>
                </c:pt>
                <c:pt idx="4">
                  <c:v>0.3025338378924728</c:v>
                </c:pt>
                <c:pt idx="5">
                  <c:v>0.3025338378924728</c:v>
                </c:pt>
                <c:pt idx="6">
                  <c:v>0.3025338378924728</c:v>
                </c:pt>
                <c:pt idx="7">
                  <c:v>0.3025338378924728</c:v>
                </c:pt>
                <c:pt idx="8">
                  <c:v>0.3025338378924728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'Quality Check'!$AK$27</c:f>
              <c:strCache>
                <c:ptCount val="1"/>
                <c:pt idx="0">
                  <c:v>%RMC - Middle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Check'!$AK$28:$AK$54</c:f>
              <c:numCache>
                <c:ptCount val="27"/>
                <c:pt idx="9">
                  <c:v>0.3556860980173863</c:v>
                </c:pt>
                <c:pt idx="10">
                  <c:v>0.36208162588530685</c:v>
                </c:pt>
                <c:pt idx="11">
                  <c:v>0.3600445318236728</c:v>
                </c:pt>
                <c:pt idx="12">
                  <c:v>0.375409836065574</c:v>
                </c:pt>
                <c:pt idx="13">
                  <c:v>0.3710857685911144</c:v>
                </c:pt>
                <c:pt idx="14">
                  <c:v>0.37419814682822533</c:v>
                </c:pt>
                <c:pt idx="15">
                  <c:v>0.37522543901281435</c:v>
                </c:pt>
                <c:pt idx="16">
                  <c:v>0.368343616516374</c:v>
                </c:pt>
                <c:pt idx="17">
                  <c:v>0.374157570004746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'Quality Check'!$AL$27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Check'!$AL$28:$AL$54</c:f>
              <c:numCache>
                <c:ptCount val="27"/>
                <c:pt idx="9">
                  <c:v>0.36847029252724606</c:v>
                </c:pt>
                <c:pt idx="10">
                  <c:v>0.36847029252724606</c:v>
                </c:pt>
                <c:pt idx="11">
                  <c:v>0.36847029252724606</c:v>
                </c:pt>
                <c:pt idx="12">
                  <c:v>0.36847029252724606</c:v>
                </c:pt>
                <c:pt idx="13">
                  <c:v>0.36847029252724606</c:v>
                </c:pt>
                <c:pt idx="14">
                  <c:v>0.36847029252724606</c:v>
                </c:pt>
                <c:pt idx="15">
                  <c:v>0.36847029252724606</c:v>
                </c:pt>
                <c:pt idx="16">
                  <c:v>0.36847029252724606</c:v>
                </c:pt>
                <c:pt idx="17">
                  <c:v>0.36847029252724606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'Quality Check'!$AM$27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Check'!$AM$28:$AM$54</c:f>
              <c:numCache>
                <c:ptCount val="27"/>
                <c:pt idx="9">
                  <c:v>0.390745257289218</c:v>
                </c:pt>
                <c:pt idx="10">
                  <c:v>0.390745257289218</c:v>
                </c:pt>
                <c:pt idx="11">
                  <c:v>0.390745257289218</c:v>
                </c:pt>
                <c:pt idx="12">
                  <c:v>0.390745257289218</c:v>
                </c:pt>
                <c:pt idx="13">
                  <c:v>0.390745257289218</c:v>
                </c:pt>
                <c:pt idx="14">
                  <c:v>0.390745257289218</c:v>
                </c:pt>
                <c:pt idx="15">
                  <c:v>0.390745257289218</c:v>
                </c:pt>
                <c:pt idx="16">
                  <c:v>0.390745257289218</c:v>
                </c:pt>
                <c:pt idx="17">
                  <c:v>0.390745257289218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'Quality Check'!$AN$27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Check'!$AN$28:$AN$54</c:f>
              <c:numCache>
                <c:ptCount val="27"/>
                <c:pt idx="9">
                  <c:v>0.3461953277652741</c:v>
                </c:pt>
                <c:pt idx="10">
                  <c:v>0.3461953277652741</c:v>
                </c:pt>
                <c:pt idx="11">
                  <c:v>0.3461953277652741</c:v>
                </c:pt>
                <c:pt idx="12">
                  <c:v>0.3461953277652741</c:v>
                </c:pt>
                <c:pt idx="13">
                  <c:v>0.3461953277652741</c:v>
                </c:pt>
                <c:pt idx="14">
                  <c:v>0.3461953277652741</c:v>
                </c:pt>
                <c:pt idx="15">
                  <c:v>0.3461953277652741</c:v>
                </c:pt>
                <c:pt idx="16">
                  <c:v>0.3461953277652741</c:v>
                </c:pt>
                <c:pt idx="17">
                  <c:v>0.3461953277652741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'Quality Check'!$AO$27</c:f>
              <c:strCache>
                <c:ptCount val="1"/>
                <c:pt idx="0">
                  <c:v>%RMC - End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'Quality Check'!$AO$28:$AO$54</c:f>
              <c:numCache>
                <c:ptCount val="27"/>
                <c:pt idx="18">
                  <c:v>0.3737311596431866</c:v>
                </c:pt>
                <c:pt idx="19">
                  <c:v>0.3728083666564133</c:v>
                </c:pt>
                <c:pt idx="20">
                  <c:v>0.37271372122187246</c:v>
                </c:pt>
                <c:pt idx="21">
                  <c:v>0.3508960061004671</c:v>
                </c:pt>
                <c:pt idx="22">
                  <c:v>0.3517538842817655</c:v>
                </c:pt>
                <c:pt idx="23">
                  <c:v>0.35287389190734925</c:v>
                </c:pt>
                <c:pt idx="24">
                  <c:v>0.3664998808672861</c:v>
                </c:pt>
                <c:pt idx="25">
                  <c:v>0.3686204431736956</c:v>
                </c:pt>
                <c:pt idx="26">
                  <c:v>0.3715511079342388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'Quality Check'!$AP$27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Check'!$AP$28:$AP$54</c:f>
              <c:numCache>
                <c:ptCount val="27"/>
                <c:pt idx="18">
                  <c:v>0.3646053846429194</c:v>
                </c:pt>
                <c:pt idx="19">
                  <c:v>0.3646053846429194</c:v>
                </c:pt>
                <c:pt idx="20">
                  <c:v>0.3646053846429194</c:v>
                </c:pt>
                <c:pt idx="21">
                  <c:v>0.3646053846429194</c:v>
                </c:pt>
                <c:pt idx="22">
                  <c:v>0.3646053846429194</c:v>
                </c:pt>
                <c:pt idx="23">
                  <c:v>0.3646053846429194</c:v>
                </c:pt>
                <c:pt idx="24">
                  <c:v>0.3646053846429194</c:v>
                </c:pt>
                <c:pt idx="25">
                  <c:v>0.3646053846429194</c:v>
                </c:pt>
                <c:pt idx="26">
                  <c:v>0.3646053846429194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'Quality Check'!$AQ$27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Check'!$AQ$28:$AQ$54</c:f>
              <c:numCache>
                <c:ptCount val="27"/>
                <c:pt idx="18">
                  <c:v>0.39413296620923666</c:v>
                </c:pt>
                <c:pt idx="19">
                  <c:v>0.39413296620923666</c:v>
                </c:pt>
                <c:pt idx="20">
                  <c:v>0.39413296620923666</c:v>
                </c:pt>
                <c:pt idx="21">
                  <c:v>0.39413296620923666</c:v>
                </c:pt>
                <c:pt idx="22">
                  <c:v>0.39413296620923666</c:v>
                </c:pt>
                <c:pt idx="23">
                  <c:v>0.39413296620923666</c:v>
                </c:pt>
                <c:pt idx="24">
                  <c:v>0.39413296620923666</c:v>
                </c:pt>
                <c:pt idx="25">
                  <c:v>0.39413296620923666</c:v>
                </c:pt>
                <c:pt idx="26">
                  <c:v>0.39413296620923666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'Quality Check'!$AR$27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Check'!$AR$28:$AR$54</c:f>
              <c:numCache>
                <c:ptCount val="27"/>
                <c:pt idx="18">
                  <c:v>0.3350778030766022</c:v>
                </c:pt>
                <c:pt idx="19">
                  <c:v>0.3350778030766022</c:v>
                </c:pt>
                <c:pt idx="20">
                  <c:v>0.3350778030766022</c:v>
                </c:pt>
                <c:pt idx="21">
                  <c:v>0.3350778030766022</c:v>
                </c:pt>
                <c:pt idx="22">
                  <c:v>0.3350778030766022</c:v>
                </c:pt>
                <c:pt idx="23">
                  <c:v>0.3350778030766022</c:v>
                </c:pt>
                <c:pt idx="24">
                  <c:v>0.3350778030766022</c:v>
                </c:pt>
                <c:pt idx="25">
                  <c:v>0.3350778030766022</c:v>
                </c:pt>
                <c:pt idx="26">
                  <c:v>0.3350778030766022</c:v>
                </c:pt>
              </c:numCache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344"/>
          <c:w val="0.13925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'Quality Check'!$AF$56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068"/>
          <c:w val="0.822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'Quality Check'!$AG$57</c:f>
              <c:strCache>
                <c:ptCount val="1"/>
                <c:pt idx="0">
                  <c:v>Range - Beginning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Check'!$AG$58:$AG$81</c:f>
              <c:numCache>
                <c:ptCount val="24"/>
                <c:pt idx="0">
                  <c:v>0.001185311618424667</c:v>
                </c:pt>
                <c:pt idx="1">
                  <c:v>0.0008534243652657536</c:v>
                </c:pt>
                <c:pt idx="2">
                  <c:v>0.0033904613255425486</c:v>
                </c:pt>
                <c:pt idx="3">
                  <c:v>0.000354953974301353</c:v>
                </c:pt>
                <c:pt idx="4">
                  <c:v>0.0016564518800730177</c:v>
                </c:pt>
                <c:pt idx="5">
                  <c:v>0.03139874988526392</c:v>
                </c:pt>
                <c:pt idx="6">
                  <c:v>0.002047862840814485</c:v>
                </c:pt>
                <c:pt idx="7">
                  <c:v>0.001857363971901338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'Quality Check'!$AH$57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Check'!$AH$58:$AH$81</c:f>
              <c:numCache>
                <c:ptCount val="24"/>
                <c:pt idx="0">
                  <c:v>0.0053430724826983855</c:v>
                </c:pt>
                <c:pt idx="1">
                  <c:v>0.0053430724826983855</c:v>
                </c:pt>
                <c:pt idx="2">
                  <c:v>0.0053430724826983855</c:v>
                </c:pt>
                <c:pt idx="3">
                  <c:v>0.0053430724826983855</c:v>
                </c:pt>
                <c:pt idx="4">
                  <c:v>0.0053430724826983855</c:v>
                </c:pt>
                <c:pt idx="5">
                  <c:v>0.0053430724826983855</c:v>
                </c:pt>
                <c:pt idx="6">
                  <c:v>0.0053430724826983855</c:v>
                </c:pt>
                <c:pt idx="7">
                  <c:v>0.0053430724826983855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'Quality Check'!$AI$57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Check'!$AI$58:$AI$81</c:f>
              <c:numCache>
                <c:ptCount val="24"/>
                <c:pt idx="0">
                  <c:v>0.01959838986653768</c:v>
                </c:pt>
                <c:pt idx="1">
                  <c:v>0.01959838986653768</c:v>
                </c:pt>
                <c:pt idx="2">
                  <c:v>0.01959838986653768</c:v>
                </c:pt>
                <c:pt idx="3">
                  <c:v>0.01959838986653768</c:v>
                </c:pt>
                <c:pt idx="4">
                  <c:v>0.01959838986653768</c:v>
                </c:pt>
                <c:pt idx="5">
                  <c:v>0.01959838986653768</c:v>
                </c:pt>
                <c:pt idx="6">
                  <c:v>0.01959838986653768</c:v>
                </c:pt>
                <c:pt idx="7">
                  <c:v>0.01959838986653768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'Quality Check'!$AJ$57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Check'!$AJ$58:$AJ$81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'Quality Check'!$AK$57</c:f>
              <c:strCache>
                <c:ptCount val="1"/>
                <c:pt idx="0">
                  <c:v>Range - Middle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'Quality Check'!$AK$58:$AK$81</c:f>
              <c:numCache>
                <c:ptCount val="24"/>
                <c:pt idx="8">
                  <c:v>0</c:v>
                </c:pt>
                <c:pt idx="9">
                  <c:v>0.0020370940616340483</c:v>
                </c:pt>
                <c:pt idx="10">
                  <c:v>0.01536530424190119</c:v>
                </c:pt>
                <c:pt idx="11">
                  <c:v>0.00432406747445957</c:v>
                </c:pt>
                <c:pt idx="12">
                  <c:v>0.003112378237110913</c:v>
                </c:pt>
                <c:pt idx="13">
                  <c:v>0.0010272921845890237</c:v>
                </c:pt>
                <c:pt idx="14">
                  <c:v>0.006881822496440371</c:v>
                </c:pt>
                <c:pt idx="15">
                  <c:v>0.005813953488371992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'Quality Check'!$AL$57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Check'!$AL$58:$AL$81</c:f>
              <c:numCache>
                <c:ptCount val="24"/>
                <c:pt idx="8">
                  <c:v>0.005619680006553454</c:v>
                </c:pt>
                <c:pt idx="9">
                  <c:v>0.005619680006553454</c:v>
                </c:pt>
                <c:pt idx="10">
                  <c:v>0.005619680006553454</c:v>
                </c:pt>
                <c:pt idx="11">
                  <c:v>0.005619680006553454</c:v>
                </c:pt>
                <c:pt idx="12">
                  <c:v>0.005619680006553454</c:v>
                </c:pt>
                <c:pt idx="13">
                  <c:v>0.005619680006553454</c:v>
                </c:pt>
                <c:pt idx="14">
                  <c:v>0.005619680006553454</c:v>
                </c:pt>
                <c:pt idx="15">
                  <c:v>0.005619680006553454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'Quality Check'!$AM$57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Check'!$AM$58:$AM$81</c:f>
              <c:numCache>
                <c:ptCount val="24"/>
                <c:pt idx="8">
                  <c:v>0.02061298626403807</c:v>
                </c:pt>
                <c:pt idx="9">
                  <c:v>0.02061298626403807</c:v>
                </c:pt>
                <c:pt idx="10">
                  <c:v>0.02061298626403807</c:v>
                </c:pt>
                <c:pt idx="11">
                  <c:v>0.02061298626403807</c:v>
                </c:pt>
                <c:pt idx="12">
                  <c:v>0.02061298626403807</c:v>
                </c:pt>
                <c:pt idx="13">
                  <c:v>0.02061298626403807</c:v>
                </c:pt>
                <c:pt idx="14">
                  <c:v>0.02061298626403807</c:v>
                </c:pt>
                <c:pt idx="15">
                  <c:v>0.02061298626403807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'Quality Check'!$AN$57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Check'!$AN$58:$AN$81</c:f>
              <c:numCache>
                <c:ptCount val="24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'Quality Check'!$AO$57</c:f>
              <c:strCache>
                <c:ptCount val="1"/>
                <c:pt idx="0">
                  <c:v>Range - End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'Quality Check'!$AO$58:$AO$81</c:f>
              <c:numCache>
                <c:ptCount val="24"/>
                <c:pt idx="16">
                  <c:v>0</c:v>
                </c:pt>
                <c:pt idx="17">
                  <c:v>9.464543454085206E-05</c:v>
                </c:pt>
                <c:pt idx="18">
                  <c:v>0.021817715121405346</c:v>
                </c:pt>
                <c:pt idx="19">
                  <c:v>0.0008578781812983993</c:v>
                </c:pt>
                <c:pt idx="20">
                  <c:v>0.00112000762558373</c:v>
                </c:pt>
                <c:pt idx="21">
                  <c:v>0.01362598895993683</c:v>
                </c:pt>
                <c:pt idx="22">
                  <c:v>0.0021205623064095014</c:v>
                </c:pt>
                <c:pt idx="23">
                  <c:v>0.0029306647605432112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'Quality Check'!$AP$57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Check'!$AP$58:$AP$81</c:f>
              <c:numCache>
                <c:ptCount val="24"/>
                <c:pt idx="16">
                  <c:v>0.005436281922061394</c:v>
                </c:pt>
                <c:pt idx="17">
                  <c:v>0.005436281922061394</c:v>
                </c:pt>
                <c:pt idx="18">
                  <c:v>0.005436281922061394</c:v>
                </c:pt>
                <c:pt idx="19">
                  <c:v>0.005436281922061394</c:v>
                </c:pt>
                <c:pt idx="20">
                  <c:v>0.005436281922061394</c:v>
                </c:pt>
                <c:pt idx="21">
                  <c:v>0.005436281922061394</c:v>
                </c:pt>
                <c:pt idx="22">
                  <c:v>0.005436281922061394</c:v>
                </c:pt>
                <c:pt idx="23">
                  <c:v>0.005436281922061394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'Quality Check'!$AQ$57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Check'!$AQ$58:$AQ$81</c:f>
              <c:numCache>
                <c:ptCount val="24"/>
                <c:pt idx="16">
                  <c:v>0.019940282090121192</c:v>
                </c:pt>
                <c:pt idx="17">
                  <c:v>0.019940282090121192</c:v>
                </c:pt>
                <c:pt idx="18">
                  <c:v>0.019940282090121192</c:v>
                </c:pt>
                <c:pt idx="19">
                  <c:v>0.019940282090121192</c:v>
                </c:pt>
                <c:pt idx="20">
                  <c:v>0.019940282090121192</c:v>
                </c:pt>
                <c:pt idx="21">
                  <c:v>0.019940282090121192</c:v>
                </c:pt>
                <c:pt idx="22">
                  <c:v>0.019940282090121192</c:v>
                </c:pt>
                <c:pt idx="23">
                  <c:v>0.019940282090121192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'Quality Check'!$AR$57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'Quality Check'!$AR$58:$AR$81</c:f>
              <c:numCache>
                <c:ptCount val="24"/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9217512"/>
        <c:axId val="61631017"/>
      </c:line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75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344"/>
          <c:w val="0.138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</cdr:x>
      <cdr:y>0.05525</cdr:y>
    </cdr:from>
    <cdr:to>
      <cdr:x>0.6375</cdr:x>
      <cdr:y>0.153</cdr:y>
    </cdr:to>
    <cdr:sp textlink="'Correlation Raw Data'!$B$20">
      <cdr:nvSpPr>
        <cdr:cNvPr id="1" name="Text Box 1025"/>
        <cdr:cNvSpPr txBox="1">
          <a:spLocks noChangeArrowheads="1"/>
        </cdr:cNvSpPr>
      </cdr:nvSpPr>
      <cdr:spPr>
        <a:xfrm>
          <a:off x="5057775" y="352425"/>
          <a:ext cx="5048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87729fa-62a7-4b70-9b7b-2811746d6528}" type="TxLink"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0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0.0075</cdr:y>
    </cdr:from>
    <cdr:to>
      <cdr:x>0.6595</cdr:x>
      <cdr:y>0.05575</cdr:y>
    </cdr:to>
    <cdr:sp textlink="'Correlation Raw Data'!$B$20">
      <cdr:nvSpPr>
        <cdr:cNvPr id="1" name="TextBox 1"/>
        <cdr:cNvSpPr txBox="1">
          <a:spLocks noChangeArrowheads="1"/>
        </cdr:cNvSpPr>
      </cdr:nvSpPr>
      <cdr:spPr>
        <a:xfrm>
          <a:off x="5257800" y="476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df01446-1f4c-4798-9550-da1cd38b6504}" type="TxLink">
            <a:rPr lang="en-US" cap="none" sz="1800" b="0" i="0" u="none" baseline="0">
              <a:solidFill>
                <a:srgbClr val="000000"/>
              </a:solidFill>
            </a:rPr>
            <a:t>19</a:t>
          </a:fld>
        </a:p>
      </cdr:txBody>
    </cdr:sp>
  </cdr:relSizeAnchor>
  <cdr:relSizeAnchor xmlns:cdr="http://schemas.openxmlformats.org/drawingml/2006/chartDrawing">
    <cdr:from>
      <cdr:x>0.787</cdr:x>
      <cdr:y>0.0865</cdr:y>
    </cdr:from>
    <cdr:to>
      <cdr:x>0.8595</cdr:x>
      <cdr:y>0.14875</cdr:y>
    </cdr:to>
    <cdr:sp>
      <cdr:nvSpPr>
        <cdr:cNvPr id="2" name="TextBox 3"/>
        <cdr:cNvSpPr txBox="1">
          <a:spLocks noChangeArrowheads="1"/>
        </cdr:cNvSpPr>
      </cdr:nvSpPr>
      <cdr:spPr>
        <a:xfrm>
          <a:off x="6877050" y="552450"/>
          <a:ext cx="638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cdr:txBody>
    </cdr:sp>
  </cdr:relSizeAnchor>
  <cdr:relSizeAnchor xmlns:cdr="http://schemas.openxmlformats.org/drawingml/2006/chartDrawing">
    <cdr:from>
      <cdr:x>0.74225</cdr:x>
      <cdr:y>0.03925</cdr:y>
    </cdr:from>
    <cdr:to>
      <cdr:x>0.97375</cdr:x>
      <cdr:y>0.1135</cdr:y>
    </cdr:to>
    <cdr:sp textlink="Analysis!$D$53">
      <cdr:nvSpPr>
        <cdr:cNvPr id="3" name="TextBox 4"/>
        <cdr:cNvSpPr txBox="1">
          <a:spLocks noChangeArrowheads="1"/>
        </cdr:cNvSpPr>
      </cdr:nvSpPr>
      <cdr:spPr>
        <a:xfrm>
          <a:off x="6486525" y="247650"/>
          <a:ext cx="2028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f9df380-1d00-403c-bf6f-247344229387}" type="TxLink">
            <a:rPr lang="en-US" cap="none" sz="1800" b="0" i="0" u="none" baseline="0">
              <a:solidFill>
                <a:srgbClr val="000000"/>
              </a:solidFill>
            </a:rPr>
            <a:t>y=0.8251x+-0.0054</a:t>
          </a:fld>
        </a:p>
      </cdr:txBody>
    </cdr:sp>
  </cdr:relSizeAnchor>
  <cdr:relSizeAnchor xmlns:cdr="http://schemas.openxmlformats.org/drawingml/2006/chartDrawing">
    <cdr:from>
      <cdr:x>0.8405</cdr:x>
      <cdr:y>0.0865</cdr:y>
    </cdr:from>
    <cdr:to>
      <cdr:x>0.95525</cdr:x>
      <cdr:y>0.14875</cdr:y>
    </cdr:to>
    <cdr:sp textlink="Analysis!$C$55">
      <cdr:nvSpPr>
        <cdr:cNvPr id="4" name="TextBox 1"/>
        <cdr:cNvSpPr txBox="1">
          <a:spLocks noChangeArrowheads="1"/>
        </cdr:cNvSpPr>
      </cdr:nvSpPr>
      <cdr:spPr>
        <a:xfrm>
          <a:off x="7343775" y="552450"/>
          <a:ext cx="1000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b8844d7-6b26-4f3b-879c-bb5049b162ca}" type="TxLink">
            <a:rPr lang="en-US" cap="none" sz="1800" b="0" i="0" u="none" baseline="0">
              <a:solidFill>
                <a:srgbClr val="000000"/>
              </a:solidFill>
            </a:rPr>
            <a:t>98.90%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Shape 1025"/>
        <xdr:cNvGraphicFramePr/>
      </xdr:nvGraphicFramePr>
      <xdr:xfrm>
        <a:off x="0" y="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0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0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0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0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F21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4.00390625" style="0" bestFit="1" customWidth="1"/>
    <col min="4" max="4" width="4.00390625" style="0" bestFit="1" customWidth="1"/>
  </cols>
  <sheetData>
    <row r="4" spans="3:6" ht="12.75">
      <c r="C4" s="1"/>
      <c r="D4" s="307" t="s">
        <v>10</v>
      </c>
      <c r="E4" s="307"/>
      <c r="F4" s="307"/>
    </row>
    <row r="5" spans="3:6" ht="12.75">
      <c r="C5" s="1"/>
      <c r="D5" s="1"/>
      <c r="E5" s="307" t="s">
        <v>11</v>
      </c>
      <c r="F5" s="307"/>
    </row>
    <row r="6" spans="3:6" ht="13.5" thickBot="1">
      <c r="C6" s="1"/>
      <c r="D6" s="1"/>
      <c r="E6" s="4">
        <v>19.5</v>
      </c>
      <c r="F6" s="4">
        <v>20</v>
      </c>
    </row>
    <row r="7" spans="3:6" ht="12.75" customHeight="1">
      <c r="C7" s="308" t="s">
        <v>12</v>
      </c>
      <c r="D7" s="3">
        <v>99</v>
      </c>
      <c r="E7" s="5">
        <v>598</v>
      </c>
      <c r="F7" s="6">
        <v>590</v>
      </c>
    </row>
    <row r="8" spans="3:6" ht="12.75">
      <c r="C8" s="309"/>
      <c r="D8" s="3">
        <v>100</v>
      </c>
      <c r="E8" s="7">
        <v>601</v>
      </c>
      <c r="F8" s="8">
        <v>593</v>
      </c>
    </row>
    <row r="9" spans="3:6" ht="13.5" thickBot="1">
      <c r="C9" s="309"/>
      <c r="D9" s="3">
        <v>101</v>
      </c>
      <c r="E9" s="9">
        <v>604</v>
      </c>
      <c r="F9" s="10">
        <v>596</v>
      </c>
    </row>
    <row r="10" spans="3:6" ht="13.5" thickBot="1">
      <c r="C10" s="309"/>
      <c r="D10" s="1"/>
      <c r="E10" s="11"/>
      <c r="F10" s="11"/>
    </row>
    <row r="11" spans="3:6" ht="12.75">
      <c r="C11" s="309"/>
      <c r="D11" s="3">
        <v>199</v>
      </c>
      <c r="E11" s="5">
        <v>848</v>
      </c>
      <c r="F11" s="6">
        <v>837</v>
      </c>
    </row>
    <row r="12" spans="3:6" ht="12.75">
      <c r="C12" s="309"/>
      <c r="D12" s="3">
        <v>200</v>
      </c>
      <c r="E12" s="7">
        <v>850</v>
      </c>
      <c r="F12" s="8">
        <v>839</v>
      </c>
    </row>
    <row r="13" spans="3:6" ht="13.5" thickBot="1">
      <c r="C13" s="309"/>
      <c r="D13" s="3">
        <v>201</v>
      </c>
      <c r="E13" s="9">
        <v>852</v>
      </c>
      <c r="F13" s="10">
        <v>841</v>
      </c>
    </row>
    <row r="14" spans="3:6" ht="13.5" thickBot="1">
      <c r="C14" s="309"/>
      <c r="D14" s="1"/>
      <c r="E14" s="11"/>
      <c r="F14" s="11"/>
    </row>
    <row r="15" spans="3:6" ht="12.75">
      <c r="C15" s="309"/>
      <c r="D15" s="3">
        <v>349</v>
      </c>
      <c r="E15" s="5">
        <v>1123</v>
      </c>
      <c r="F15" s="6">
        <v>1108</v>
      </c>
    </row>
    <row r="16" spans="3:6" ht="12.75">
      <c r="C16" s="309"/>
      <c r="D16" s="3">
        <v>350</v>
      </c>
      <c r="E16" s="7">
        <v>1124</v>
      </c>
      <c r="F16" s="8">
        <v>1110</v>
      </c>
    </row>
    <row r="17" spans="3:6" ht="13.5" thickBot="1">
      <c r="C17" s="309"/>
      <c r="D17" s="3">
        <v>351</v>
      </c>
      <c r="E17" s="9">
        <v>1126</v>
      </c>
      <c r="F17" s="10">
        <v>1112</v>
      </c>
    </row>
    <row r="18" spans="3:6" ht="13.5" thickBot="1">
      <c r="C18" s="309"/>
      <c r="D18" s="1"/>
      <c r="E18" s="11"/>
      <c r="F18" s="11"/>
    </row>
    <row r="19" spans="3:6" ht="12.75">
      <c r="C19" s="309"/>
      <c r="D19" s="3">
        <v>499</v>
      </c>
      <c r="E19" s="5">
        <v>1342</v>
      </c>
      <c r="F19" s="6">
        <v>1325</v>
      </c>
    </row>
    <row r="20" spans="3:6" ht="12.75">
      <c r="C20" s="309"/>
      <c r="D20" s="3">
        <v>500</v>
      </c>
      <c r="E20" s="7">
        <v>1344</v>
      </c>
      <c r="F20" s="8">
        <v>1326</v>
      </c>
    </row>
    <row r="21" spans="3:6" ht="13.5" thickBot="1">
      <c r="C21" s="310"/>
      <c r="D21" s="3">
        <v>501</v>
      </c>
      <c r="E21" s="9">
        <v>1345</v>
      </c>
      <c r="F21" s="10">
        <v>1328</v>
      </c>
    </row>
  </sheetData>
  <sheetProtection/>
  <mergeCells count="3">
    <mergeCell ref="D4:F4"/>
    <mergeCell ref="E5:F5"/>
    <mergeCell ref="C7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11.140625" style="67" bestFit="1" customWidth="1"/>
    <col min="2" max="2" width="7.421875" style="67" bestFit="1" customWidth="1"/>
    <col min="3" max="3" width="6.8515625" style="67" bestFit="1" customWidth="1"/>
    <col min="4" max="5" width="7.421875" style="67" bestFit="1" customWidth="1"/>
    <col min="6" max="6" width="6.8515625" style="67" bestFit="1" customWidth="1"/>
    <col min="7" max="8" width="7.421875" style="67" bestFit="1" customWidth="1"/>
    <col min="9" max="9" width="6.8515625" style="67" bestFit="1" customWidth="1"/>
    <col min="10" max="10" width="7.57421875" style="67" bestFit="1" customWidth="1"/>
    <col min="11" max="11" width="7.421875" style="67" bestFit="1" customWidth="1"/>
    <col min="12" max="12" width="6.8515625" style="67" bestFit="1" customWidth="1"/>
    <col min="13" max="13" width="7.57421875" style="67" bestFit="1" customWidth="1"/>
    <col min="14" max="14" width="4.28125" style="67" customWidth="1"/>
    <col min="24" max="24" width="4.28125" style="67" customWidth="1"/>
    <col min="25" max="16384" width="9.140625" style="67" customWidth="1"/>
  </cols>
  <sheetData>
    <row r="1" spans="1:13" ht="13.5" thickBot="1">
      <c r="A1" s="66"/>
      <c r="B1" s="311" t="s">
        <v>101</v>
      </c>
      <c r="C1" s="312"/>
      <c r="D1" s="313"/>
      <c r="E1" s="313"/>
      <c r="F1" s="314"/>
      <c r="G1" s="314"/>
      <c r="H1" s="311" t="s">
        <v>102</v>
      </c>
      <c r="I1" s="312"/>
      <c r="J1" s="313"/>
      <c r="K1" s="313"/>
      <c r="L1" s="314"/>
      <c r="M1" s="315"/>
    </row>
    <row r="2" spans="1:13" ht="13.5" customHeight="1" thickBot="1">
      <c r="A2" s="66"/>
      <c r="B2" s="316" t="s">
        <v>91</v>
      </c>
      <c r="C2" s="317"/>
      <c r="D2" s="318"/>
      <c r="E2" s="316" t="s">
        <v>92</v>
      </c>
      <c r="F2" s="317"/>
      <c r="G2" s="318"/>
      <c r="H2" s="316" t="s">
        <v>91</v>
      </c>
      <c r="I2" s="317"/>
      <c r="J2" s="318"/>
      <c r="K2" s="319" t="s">
        <v>92</v>
      </c>
      <c r="L2" s="317"/>
      <c r="M2" s="318"/>
    </row>
    <row r="3" spans="1:13" ht="13.5" thickBot="1">
      <c r="A3" s="66"/>
      <c r="B3" s="68" t="s">
        <v>93</v>
      </c>
      <c r="C3" s="69" t="s">
        <v>89</v>
      </c>
      <c r="D3" s="70" t="s">
        <v>90</v>
      </c>
      <c r="E3" s="68" t="s">
        <v>93</v>
      </c>
      <c r="F3" s="69" t="s">
        <v>89</v>
      </c>
      <c r="G3" s="70" t="s">
        <v>90</v>
      </c>
      <c r="H3" s="68" t="s">
        <v>93</v>
      </c>
      <c r="I3" s="69" t="s">
        <v>89</v>
      </c>
      <c r="J3" s="70" t="s">
        <v>90</v>
      </c>
      <c r="K3" s="68" t="s">
        <v>93</v>
      </c>
      <c r="L3" s="69" t="s">
        <v>89</v>
      </c>
      <c r="M3" s="70" t="s">
        <v>90</v>
      </c>
    </row>
    <row r="4" spans="1:13" ht="12.75">
      <c r="A4" s="322" t="s">
        <v>94</v>
      </c>
      <c r="B4" s="102">
        <v>2</v>
      </c>
      <c r="C4" s="190">
        <v>8.418</v>
      </c>
      <c r="D4" s="191">
        <v>13.9034</v>
      </c>
      <c r="E4" s="102">
        <v>2</v>
      </c>
      <c r="F4" s="190">
        <v>8.418</v>
      </c>
      <c r="G4" s="191">
        <v>13.274</v>
      </c>
      <c r="H4" s="166">
        <v>1</v>
      </c>
      <c r="I4" s="203">
        <v>8.38</v>
      </c>
      <c r="J4" s="191">
        <v>13.5496</v>
      </c>
      <c r="K4" s="102">
        <v>2</v>
      </c>
      <c r="L4" s="190">
        <v>8.39</v>
      </c>
      <c r="M4" s="191">
        <v>13.1336</v>
      </c>
    </row>
    <row r="5" spans="1:13" ht="12.75">
      <c r="A5" s="323"/>
      <c r="B5" s="103">
        <v>1</v>
      </c>
      <c r="C5" s="192">
        <v>8.382</v>
      </c>
      <c r="D5" s="193">
        <v>13.9246</v>
      </c>
      <c r="E5" s="103">
        <v>1</v>
      </c>
      <c r="F5" s="192">
        <v>8.382</v>
      </c>
      <c r="G5" s="193">
        <v>13.2548</v>
      </c>
      <c r="H5" s="164">
        <v>2</v>
      </c>
      <c r="I5" s="201">
        <v>8.3944</v>
      </c>
      <c r="J5" s="193">
        <v>13.65</v>
      </c>
      <c r="K5" s="164">
        <v>1</v>
      </c>
      <c r="L5" s="201">
        <v>8.3752</v>
      </c>
      <c r="M5" s="198">
        <v>13.1584</v>
      </c>
    </row>
    <row r="6" spans="1:13" ht="13.5" thickBot="1">
      <c r="A6" s="324"/>
      <c r="B6" s="104">
        <v>2</v>
      </c>
      <c r="C6" s="194">
        <v>8.418</v>
      </c>
      <c r="D6" s="195">
        <v>14.0248</v>
      </c>
      <c r="E6" s="104">
        <v>2</v>
      </c>
      <c r="F6" s="194">
        <v>8.418</v>
      </c>
      <c r="G6" s="195">
        <v>13.3404</v>
      </c>
      <c r="H6" s="165">
        <v>1</v>
      </c>
      <c r="I6" s="202">
        <v>8.38</v>
      </c>
      <c r="J6" s="195">
        <v>13.613</v>
      </c>
      <c r="K6" s="165">
        <v>2</v>
      </c>
      <c r="L6" s="202">
        <v>8.39</v>
      </c>
      <c r="M6" s="199">
        <v>13.1688</v>
      </c>
    </row>
    <row r="7" spans="1:13" ht="12.75">
      <c r="A7" s="322" t="s">
        <v>95</v>
      </c>
      <c r="B7" s="166">
        <v>1</v>
      </c>
      <c r="C7" s="203">
        <v>8.3752</v>
      </c>
      <c r="D7" s="196">
        <v>12.7912</v>
      </c>
      <c r="E7" s="166">
        <v>1</v>
      </c>
      <c r="F7" s="203">
        <v>8.3752</v>
      </c>
      <c r="G7" s="196">
        <v>12.1796</v>
      </c>
      <c r="H7" s="166">
        <v>1</v>
      </c>
      <c r="I7" s="203">
        <v>8.38</v>
      </c>
      <c r="J7" s="196">
        <v>12.5112</v>
      </c>
      <c r="K7" s="102">
        <v>2</v>
      </c>
      <c r="L7" s="190">
        <v>8.39</v>
      </c>
      <c r="M7" s="196">
        <v>12.0366</v>
      </c>
    </row>
    <row r="8" spans="1:13" ht="12.75">
      <c r="A8" s="323"/>
      <c r="B8" s="164">
        <v>2</v>
      </c>
      <c r="C8" s="201">
        <v>8.39</v>
      </c>
      <c r="D8" s="193">
        <v>12.8066</v>
      </c>
      <c r="E8" s="164">
        <v>2</v>
      </c>
      <c r="F8" s="201">
        <v>8.39</v>
      </c>
      <c r="G8" s="193">
        <v>12.156</v>
      </c>
      <c r="H8" s="164">
        <v>2</v>
      </c>
      <c r="I8" s="201">
        <v>8.3944</v>
      </c>
      <c r="J8" s="193">
        <v>12.4808</v>
      </c>
      <c r="K8" s="164">
        <v>1</v>
      </c>
      <c r="L8" s="201">
        <v>8.3752</v>
      </c>
      <c r="M8" s="193">
        <v>11.9974</v>
      </c>
    </row>
    <row r="9" spans="1:13" ht="13.5" thickBot="1">
      <c r="A9" s="324"/>
      <c r="B9" s="167">
        <v>1</v>
      </c>
      <c r="C9" s="204">
        <v>8.3752</v>
      </c>
      <c r="D9" s="195">
        <v>12.8104</v>
      </c>
      <c r="E9" s="167">
        <v>1</v>
      </c>
      <c r="F9" s="204">
        <v>8.3752</v>
      </c>
      <c r="G9" s="205">
        <v>12.1988</v>
      </c>
      <c r="H9" s="165">
        <v>1</v>
      </c>
      <c r="I9" s="202">
        <v>8.38</v>
      </c>
      <c r="J9" s="205">
        <v>12.5266</v>
      </c>
      <c r="K9" s="165">
        <v>2</v>
      </c>
      <c r="L9" s="202">
        <v>8.39</v>
      </c>
      <c r="M9" s="195">
        <v>12.0424</v>
      </c>
    </row>
    <row r="10" spans="1:13" ht="12.75">
      <c r="A10" s="322" t="s">
        <v>96</v>
      </c>
      <c r="B10" s="166">
        <v>1</v>
      </c>
      <c r="C10" s="203">
        <v>8.38</v>
      </c>
      <c r="D10" s="196">
        <v>12.0508</v>
      </c>
      <c r="E10" s="166">
        <v>1</v>
      </c>
      <c r="F10" s="203">
        <v>8.382</v>
      </c>
      <c r="G10" s="196">
        <v>11.4424</v>
      </c>
      <c r="H10" s="166">
        <v>1</v>
      </c>
      <c r="I10" s="203">
        <v>8.382</v>
      </c>
      <c r="J10" s="196">
        <v>11.8034</v>
      </c>
      <c r="K10" s="166">
        <v>2</v>
      </c>
      <c r="L10" s="203">
        <v>8.3944</v>
      </c>
      <c r="M10" s="196">
        <v>11.3614</v>
      </c>
    </row>
    <row r="11" spans="1:13" ht="12.75">
      <c r="A11" s="323"/>
      <c r="B11" s="164">
        <v>2</v>
      </c>
      <c r="C11" s="201">
        <v>8.3944</v>
      </c>
      <c r="D11" s="193">
        <v>12.0596</v>
      </c>
      <c r="E11" s="164">
        <v>2</v>
      </c>
      <c r="F11" s="201">
        <v>8.4018</v>
      </c>
      <c r="G11" s="193">
        <v>11.392</v>
      </c>
      <c r="H11" s="164">
        <v>2</v>
      </c>
      <c r="I11" s="201">
        <v>8.4018</v>
      </c>
      <c r="J11" s="193">
        <v>11.8144</v>
      </c>
      <c r="K11" s="164">
        <v>1</v>
      </c>
      <c r="L11" s="201">
        <v>8.3752</v>
      </c>
      <c r="M11" s="198">
        <v>11.3102</v>
      </c>
    </row>
    <row r="12" spans="1:13" ht="13.5" thickBot="1">
      <c r="A12" s="324"/>
      <c r="B12" s="165">
        <v>1</v>
      </c>
      <c r="C12" s="202">
        <v>8.38</v>
      </c>
      <c r="D12" s="195">
        <v>12.0606</v>
      </c>
      <c r="E12" s="165">
        <v>1</v>
      </c>
      <c r="F12" s="202">
        <v>8.382</v>
      </c>
      <c r="G12" s="195">
        <v>11.44</v>
      </c>
      <c r="H12" s="165">
        <v>1</v>
      </c>
      <c r="I12" s="202">
        <v>8.382</v>
      </c>
      <c r="J12" s="195">
        <v>11.8506</v>
      </c>
      <c r="K12" s="167">
        <v>2</v>
      </c>
      <c r="L12" s="204">
        <v>8.39</v>
      </c>
      <c r="M12" s="200">
        <v>11.2788</v>
      </c>
    </row>
    <row r="13" spans="1:13" ht="12.75">
      <c r="A13" s="322" t="s">
        <v>97</v>
      </c>
      <c r="B13" s="102">
        <v>2</v>
      </c>
      <c r="C13" s="190">
        <v>8.418</v>
      </c>
      <c r="D13" s="196">
        <v>11.673</v>
      </c>
      <c r="E13" s="166">
        <v>2</v>
      </c>
      <c r="F13" s="203">
        <v>8.3944</v>
      </c>
      <c r="G13" s="196">
        <v>11.121</v>
      </c>
      <c r="H13" s="166">
        <v>1</v>
      </c>
      <c r="I13" s="203">
        <v>8.3752</v>
      </c>
      <c r="J13" s="196">
        <v>11.4366</v>
      </c>
      <c r="K13" s="166">
        <v>2</v>
      </c>
      <c r="L13" s="203">
        <v>8.3944</v>
      </c>
      <c r="M13" s="191">
        <v>10.9274</v>
      </c>
    </row>
    <row r="14" spans="1:13" ht="12.75">
      <c r="A14" s="323"/>
      <c r="B14" s="103">
        <v>1</v>
      </c>
      <c r="C14" s="192">
        <v>8.382</v>
      </c>
      <c r="D14" s="198">
        <v>11.696</v>
      </c>
      <c r="E14" s="103">
        <v>1</v>
      </c>
      <c r="F14" s="192">
        <v>8.38</v>
      </c>
      <c r="G14" s="198">
        <v>11.1373</v>
      </c>
      <c r="H14" s="164">
        <v>2</v>
      </c>
      <c r="I14" s="201">
        <v>8.39</v>
      </c>
      <c r="J14" s="198">
        <v>11.4108</v>
      </c>
      <c r="K14" s="103">
        <v>1</v>
      </c>
      <c r="L14" s="192">
        <v>8.38</v>
      </c>
      <c r="M14" s="198">
        <v>10.9202</v>
      </c>
    </row>
    <row r="15" spans="1:13" ht="13.5" thickBot="1">
      <c r="A15" s="324"/>
      <c r="B15" s="104">
        <v>2</v>
      </c>
      <c r="C15" s="194">
        <v>8.418</v>
      </c>
      <c r="D15" s="199">
        <v>11.7426</v>
      </c>
      <c r="E15" s="105">
        <v>2</v>
      </c>
      <c r="F15" s="197">
        <v>8.3944</v>
      </c>
      <c r="G15" s="200">
        <v>11.1356</v>
      </c>
      <c r="H15" s="167">
        <v>1</v>
      </c>
      <c r="I15" s="204">
        <v>8.3752</v>
      </c>
      <c r="J15" s="199">
        <v>11.4036</v>
      </c>
      <c r="K15" s="105">
        <v>2</v>
      </c>
      <c r="L15" s="197">
        <v>8.3944</v>
      </c>
      <c r="M15" s="200">
        <v>10.96</v>
      </c>
    </row>
    <row r="16" spans="1:13" ht="12.75">
      <c r="A16" s="322" t="s">
        <v>98</v>
      </c>
      <c r="B16" s="102">
        <v>2</v>
      </c>
      <c r="C16" s="190">
        <v>8.39</v>
      </c>
      <c r="D16" s="191">
        <v>11.3862</v>
      </c>
      <c r="E16" s="166">
        <v>1</v>
      </c>
      <c r="F16" s="203">
        <v>8.382</v>
      </c>
      <c r="G16" s="191">
        <v>10.9006</v>
      </c>
      <c r="H16" s="166">
        <v>2</v>
      </c>
      <c r="I16" s="203">
        <v>8.3944</v>
      </c>
      <c r="J16" s="191">
        <v>11.096</v>
      </c>
      <c r="K16" s="166">
        <v>1</v>
      </c>
      <c r="L16" s="203">
        <v>8.38</v>
      </c>
      <c r="M16" s="191">
        <v>10.7554</v>
      </c>
    </row>
    <row r="17" spans="1:13" ht="12.75">
      <c r="A17" s="323"/>
      <c r="B17" s="164">
        <v>1</v>
      </c>
      <c r="C17" s="201">
        <v>8.3752</v>
      </c>
      <c r="D17" s="198">
        <v>11.3892</v>
      </c>
      <c r="E17" s="164">
        <v>2</v>
      </c>
      <c r="F17" s="201">
        <v>8.4018</v>
      </c>
      <c r="G17" s="198">
        <v>10.901</v>
      </c>
      <c r="H17" s="103">
        <v>1</v>
      </c>
      <c r="I17" s="192">
        <v>8.38</v>
      </c>
      <c r="J17" s="198">
        <v>11.1218</v>
      </c>
      <c r="K17" s="164">
        <v>2</v>
      </c>
      <c r="L17" s="201">
        <v>8.3944</v>
      </c>
      <c r="M17" s="198">
        <v>10.7576</v>
      </c>
    </row>
    <row r="18" spans="1:13" ht="13.5" thickBot="1">
      <c r="A18" s="324"/>
      <c r="B18" s="167">
        <v>2</v>
      </c>
      <c r="C18" s="204">
        <v>8.39</v>
      </c>
      <c r="D18" s="200">
        <v>11.3888</v>
      </c>
      <c r="E18" s="167">
        <v>1</v>
      </c>
      <c r="F18" s="204">
        <v>8.382</v>
      </c>
      <c r="G18" s="200">
        <v>10.9066</v>
      </c>
      <c r="H18" s="105">
        <v>2</v>
      </c>
      <c r="I18" s="197">
        <v>8.3944</v>
      </c>
      <c r="J18" s="200">
        <v>11.1142</v>
      </c>
      <c r="K18" s="167">
        <v>1</v>
      </c>
      <c r="L18" s="204">
        <v>8.38</v>
      </c>
      <c r="M18" s="200">
        <v>10.7538</v>
      </c>
    </row>
    <row r="20" spans="1:4" ht="12.75">
      <c r="A20" s="67" t="s">
        <v>14</v>
      </c>
      <c r="B20" s="71">
        <v>19</v>
      </c>
      <c r="C20" s="72"/>
      <c r="D20" s="72"/>
    </row>
    <row r="21" spans="1:4" ht="12.75">
      <c r="A21" s="67" t="s">
        <v>77</v>
      </c>
      <c r="B21" s="325" t="s">
        <v>105</v>
      </c>
      <c r="C21" s="325"/>
      <c r="D21" s="325"/>
    </row>
    <row r="22" spans="1:4" ht="12.75">
      <c r="A22" s="67" t="s">
        <v>78</v>
      </c>
      <c r="B22" s="320" t="s">
        <v>687</v>
      </c>
      <c r="C22" s="321"/>
      <c r="D22" s="321"/>
    </row>
    <row r="23" spans="1:4" ht="12.75">
      <c r="A23" s="67" t="s">
        <v>76</v>
      </c>
      <c r="B23" s="71" t="s">
        <v>99</v>
      </c>
      <c r="C23" s="71"/>
      <c r="D23" s="71"/>
    </row>
    <row r="24" spans="2:4" ht="12.75">
      <c r="B24" s="72"/>
      <c r="C24" s="72"/>
      <c r="D24" s="72"/>
    </row>
  </sheetData>
  <sheetProtection/>
  <mergeCells count="13">
    <mergeCell ref="B22:D22"/>
    <mergeCell ref="A4:A6"/>
    <mergeCell ref="A7:A9"/>
    <mergeCell ref="A10:A12"/>
    <mergeCell ref="A13:A15"/>
    <mergeCell ref="A16:A18"/>
    <mergeCell ref="B21:D21"/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A1">
      <selection activeCell="N29" sqref="N29"/>
    </sheetView>
  </sheetViews>
  <sheetFormatPr defaultColWidth="9.140625" defaultRowHeight="12.75"/>
  <cols>
    <col min="1" max="4" width="9.140625" style="67" customWidth="1"/>
    <col min="5" max="5" width="9.421875" style="67" customWidth="1"/>
    <col min="6" max="10" width="9.140625" style="67" customWidth="1"/>
    <col min="12" max="12" width="5.7109375" style="67" bestFit="1" customWidth="1"/>
    <col min="13" max="13" width="3.00390625" style="67" bestFit="1" customWidth="1"/>
    <col min="14" max="14" width="4.421875" style="67" bestFit="1" customWidth="1"/>
    <col min="15" max="16" width="9.140625" style="67" customWidth="1"/>
    <col min="17" max="17" width="10.140625" style="67" customWidth="1"/>
    <col min="18" max="18" width="9.140625" style="67" customWidth="1"/>
    <col min="26" max="16384" width="9.140625" style="67" customWidth="1"/>
  </cols>
  <sheetData>
    <row r="1" ht="18">
      <c r="A1" s="37" t="s">
        <v>73</v>
      </c>
    </row>
    <row r="2" ht="12.75">
      <c r="A2" s="15" t="s">
        <v>44</v>
      </c>
    </row>
    <row r="3" ht="12.75">
      <c r="A3" s="15" t="s">
        <v>40</v>
      </c>
    </row>
    <row r="4" ht="13.5" thickBot="1"/>
    <row r="5" spans="1:18" ht="27" customHeight="1" thickBot="1">
      <c r="A5" s="15" t="s">
        <v>3</v>
      </c>
      <c r="F5" s="106" t="str">
        <f>"Lot "&amp;'Correlation Raw Data'!B20</f>
        <v>Lot 19</v>
      </c>
      <c r="G5" s="107"/>
      <c r="L5" s="340" t="s">
        <v>103</v>
      </c>
      <c r="M5" s="341"/>
      <c r="N5" s="341"/>
      <c r="O5" s="86" t="s">
        <v>282</v>
      </c>
      <c r="P5" s="86" t="s">
        <v>283</v>
      </c>
      <c r="Q5" s="207" t="s">
        <v>285</v>
      </c>
      <c r="R5" s="87" t="s">
        <v>9</v>
      </c>
    </row>
    <row r="6" spans="1:18" ht="13.5" thickBot="1">
      <c r="A6" s="66"/>
      <c r="B6" s="333" t="s">
        <v>101</v>
      </c>
      <c r="C6" s="337"/>
      <c r="D6" s="337"/>
      <c r="E6" s="334"/>
      <c r="F6" s="333" t="s">
        <v>102</v>
      </c>
      <c r="G6" s="337"/>
      <c r="H6" s="337"/>
      <c r="I6" s="334"/>
      <c r="L6" s="342" t="s">
        <v>41</v>
      </c>
      <c r="M6" s="345">
        <v>15</v>
      </c>
      <c r="N6" s="77">
        <v>100</v>
      </c>
      <c r="O6" s="80">
        <f>I10</f>
        <v>0.5686949740902183</v>
      </c>
      <c r="P6" s="88">
        <f aca="true" t="shared" si="0" ref="P6:P25">IF(O6="","",O6*$P$30+$P$31)</f>
        <v>0.46386766201320284</v>
      </c>
      <c r="Q6" s="93">
        <f>B29</f>
        <v>0.459</v>
      </c>
      <c r="R6" s="97">
        <f>IF(O6="","",(Q6-P6)^2)</f>
        <v>2.3694133474777757E-05</v>
      </c>
    </row>
    <row r="7" spans="1:18" ht="13.5" thickBot="1">
      <c r="A7" s="66"/>
      <c r="B7" s="338" t="s">
        <v>91</v>
      </c>
      <c r="C7" s="339"/>
      <c r="D7" s="333" t="s">
        <v>92</v>
      </c>
      <c r="E7" s="334"/>
      <c r="F7" s="333" t="s">
        <v>91</v>
      </c>
      <c r="G7" s="334"/>
      <c r="H7" s="333" t="s">
        <v>92</v>
      </c>
      <c r="I7" s="334"/>
      <c r="L7" s="343"/>
      <c r="M7" s="346"/>
      <c r="N7" s="78">
        <v>200</v>
      </c>
      <c r="O7" s="81">
        <f>I13</f>
        <v>0.43415180251223573</v>
      </c>
      <c r="P7" s="89">
        <f t="shared" si="0"/>
        <v>0.3528574809416158</v>
      </c>
      <c r="Q7" s="94">
        <f>B30</f>
        <v>0.357</v>
      </c>
      <c r="R7" s="98">
        <f aca="true" t="shared" si="1" ref="R7:R25">IF(O7="","",(Q7-P7)^2)</f>
        <v>1.71604641490763E-05</v>
      </c>
    </row>
    <row r="8" spans="1:18" ht="13.5" customHeight="1" thickBot="1">
      <c r="A8" s="66"/>
      <c r="B8" s="330" t="s">
        <v>100</v>
      </c>
      <c r="C8" s="328" t="s">
        <v>114</v>
      </c>
      <c r="D8" s="330" t="s">
        <v>100</v>
      </c>
      <c r="E8" s="328" t="s">
        <v>114</v>
      </c>
      <c r="F8" s="330" t="s">
        <v>100</v>
      </c>
      <c r="G8" s="328" t="s">
        <v>114</v>
      </c>
      <c r="H8" s="330" t="s">
        <v>100</v>
      </c>
      <c r="I8" s="328" t="s">
        <v>114</v>
      </c>
      <c r="L8" s="343"/>
      <c r="M8" s="346"/>
      <c r="N8" s="78">
        <v>350</v>
      </c>
      <c r="O8" s="81">
        <f>I16</f>
        <v>0.3494013239318757</v>
      </c>
      <c r="P8" s="89">
        <f t="shared" si="0"/>
        <v>0.28293073651626705</v>
      </c>
      <c r="Q8" s="94">
        <f>B31</f>
        <v>0.296</v>
      </c>
      <c r="R8" s="98">
        <f t="shared" si="1"/>
        <v>0.00017080564800723528</v>
      </c>
    </row>
    <row r="9" spans="1:18" ht="13.5" thickBot="1">
      <c r="A9" s="206" t="s">
        <v>281</v>
      </c>
      <c r="B9" s="331"/>
      <c r="C9" s="329"/>
      <c r="D9" s="331"/>
      <c r="E9" s="329"/>
      <c r="F9" s="331"/>
      <c r="G9" s="329"/>
      <c r="H9" s="331"/>
      <c r="I9" s="329"/>
      <c r="L9" s="343"/>
      <c r="M9" s="346"/>
      <c r="N9" s="78">
        <v>500</v>
      </c>
      <c r="O9" s="81">
        <f>I19</f>
        <v>0.30350253428792673</v>
      </c>
      <c r="P9" s="89">
        <f t="shared" si="0"/>
        <v>0.24506011930409427</v>
      </c>
      <c r="Q9" s="94">
        <f>B32</f>
        <v>0.242</v>
      </c>
      <c r="R9" s="98">
        <f t="shared" si="1"/>
        <v>9.364330155290446E-06</v>
      </c>
    </row>
    <row r="10" spans="1:18" ht="13.5" thickBot="1">
      <c r="A10" s="74" t="s">
        <v>94</v>
      </c>
      <c r="B10" s="131">
        <f>IF('Correlation Raw Data'!D4="","",('Correlation Raw Data'!D4-'Correlation Raw Data'!C4)/'Correlation Raw Data'!C4)</f>
        <v>0.6516274649560466</v>
      </c>
      <c r="C10" s="326">
        <f>IF(B10="","",AVERAGE(B10:B12))</f>
        <v>0.6596422353186543</v>
      </c>
      <c r="D10" s="132">
        <f>IF('Correlation Raw Data'!G4="","",('Correlation Raw Data'!G4-'Correlation Raw Data'!F4)/'Correlation Raw Data'!F4)</f>
        <v>0.5768591114278927</v>
      </c>
      <c r="E10" s="326">
        <f>IF(D10="","",AVERAGE(D10:D12))</f>
        <v>0.580982350315781</v>
      </c>
      <c r="F10" s="132">
        <f>IF('Correlation Raw Data'!J4="","",('Correlation Raw Data'!J4-'Correlation Raw Data'!I4)/'Correlation Raw Data'!I4)</f>
        <v>0.6168973747016705</v>
      </c>
      <c r="G10" s="326">
        <f>IF(F10="","",AVERAGE(F10:F12))</f>
        <v>0.6224814792996444</v>
      </c>
      <c r="H10" s="132">
        <f>IF('Correlation Raw Data'!M4="","",('Correlation Raw Data'!M4-'Correlation Raw Data'!L4)/'Correlation Raw Data'!L4)</f>
        <v>0.5653873659117996</v>
      </c>
      <c r="I10" s="326">
        <f>IF(H10="","",AVERAGE(H10:H12))</f>
        <v>0.5686949740902183</v>
      </c>
      <c r="L10" s="343"/>
      <c r="M10" s="347"/>
      <c r="N10" s="79">
        <v>650</v>
      </c>
      <c r="O10" s="82">
        <f>I22</f>
        <v>0.2827504414239564</v>
      </c>
      <c r="P10" s="92">
        <f t="shared" si="0"/>
        <v>0.2279377818459759</v>
      </c>
      <c r="Q10" s="95">
        <f>B33</f>
        <v>0.23</v>
      </c>
      <c r="R10" s="100">
        <f t="shared" si="1"/>
        <v>4.252743714786581E-06</v>
      </c>
    </row>
    <row r="11" spans="1:18" ht="12.75">
      <c r="A11" s="75"/>
      <c r="B11" s="133">
        <f>IF('Correlation Raw Data'!D5="","",('Correlation Raw Data'!D5-'Correlation Raw Data'!C5)/'Correlation Raw Data'!C5)</f>
        <v>0.6612502982581723</v>
      </c>
      <c r="C11" s="327"/>
      <c r="D11" s="133">
        <f>IF('Correlation Raw Data'!G5="","",('Correlation Raw Data'!G5-'Correlation Raw Data'!F5)/'Correlation Raw Data'!F5)</f>
        <v>0.5813409687425436</v>
      </c>
      <c r="E11" s="327"/>
      <c r="F11" s="133">
        <f>IF('Correlation Raw Data'!J5="","",('Correlation Raw Data'!J5-'Correlation Raw Data'!I5)/'Correlation Raw Data'!I5)</f>
        <v>0.6260840560373584</v>
      </c>
      <c r="G11" s="327"/>
      <c r="H11" s="133">
        <f>IF('Correlation Raw Data'!M5="","",('Correlation Raw Data'!M5-'Correlation Raw Data'!L5)/'Correlation Raw Data'!L5)</f>
        <v>0.5711147196484861</v>
      </c>
      <c r="I11" s="327"/>
      <c r="L11" s="343"/>
      <c r="M11" s="345">
        <v>4</v>
      </c>
      <c r="N11" s="77">
        <v>100</v>
      </c>
      <c r="O11" s="80">
        <f>G10</f>
        <v>0.6224814792996444</v>
      </c>
      <c r="P11" s="88">
        <f t="shared" si="0"/>
        <v>0.5082463518603162</v>
      </c>
      <c r="Q11" s="93">
        <f>C29</f>
        <v>0.499</v>
      </c>
      <c r="R11" s="97">
        <f t="shared" si="1"/>
        <v>8.549502272477273E-05</v>
      </c>
    </row>
    <row r="12" spans="1:18" ht="13.5" thickBot="1">
      <c r="A12" s="76"/>
      <c r="B12" s="134">
        <f>IF('Correlation Raw Data'!D6="","",('Correlation Raw Data'!D6-'Correlation Raw Data'!C6)/'Correlation Raw Data'!C6)</f>
        <v>0.6660489427417441</v>
      </c>
      <c r="C12" s="135">
        <f>IF(B10="","",STDEV(B10:B12))</f>
        <v>0.007343987690208209</v>
      </c>
      <c r="D12" s="134">
        <f>IF('Correlation Raw Data'!G6="","",('Correlation Raw Data'!G6-'Correlation Raw Data'!F6)/'Correlation Raw Data'!F6)</f>
        <v>0.5847469707769068</v>
      </c>
      <c r="E12" s="135">
        <f>IF(D10="","",STDEV(D10:D12))</f>
        <v>0.003956139110227004</v>
      </c>
      <c r="F12" s="134">
        <f>IF('Correlation Raw Data'!J6="","",('Correlation Raw Data'!J6-'Correlation Raw Data'!I6)/'Correlation Raw Data'!I6)</f>
        <v>0.6244630071599043</v>
      </c>
      <c r="G12" s="135">
        <f>IF(F10="","",STDEV(F10:F12))</f>
        <v>0.004903429206851954</v>
      </c>
      <c r="H12" s="134">
        <f>IF('Correlation Raw Data'!M6="","",('Correlation Raw Data'!M6-'Correlation Raw Data'!L6)/'Correlation Raw Data'!L6)</f>
        <v>0.5695828367103692</v>
      </c>
      <c r="I12" s="135">
        <f>IF(H10="","",STDEV(H10:H12))</f>
        <v>0.002965108805841741</v>
      </c>
      <c r="L12" s="343"/>
      <c r="M12" s="346"/>
      <c r="N12" s="78">
        <v>200</v>
      </c>
      <c r="O12" s="81">
        <f>G13</f>
        <v>0.4915350067450353</v>
      </c>
      <c r="P12" s="89">
        <f t="shared" si="0"/>
        <v>0.40020376999991075</v>
      </c>
      <c r="Q12" s="94">
        <f>C30</f>
        <v>0.404</v>
      </c>
      <c r="R12" s="98">
        <f t="shared" si="1"/>
        <v>1.4411362213577806E-05</v>
      </c>
    </row>
    <row r="13" spans="1:18" ht="12.75">
      <c r="A13" s="74" t="s">
        <v>95</v>
      </c>
      <c r="B13" s="132">
        <f>IF('Correlation Raw Data'!D7="","",('Correlation Raw Data'!D7-'Correlation Raw Data'!C7)/'Correlation Raw Data'!C7)</f>
        <v>0.5272709905435095</v>
      </c>
      <c r="C13" s="326">
        <f>IF(B13="","",AVERAGE(B13:B15))</f>
        <v>0.5277489531212589</v>
      </c>
      <c r="D13" s="132">
        <f>IF('Correlation Raw Data'!G7="","",('Correlation Raw Data'!G7-'Correlation Raw Data'!F7)/'Correlation Raw Data'!F7)</f>
        <v>0.45424586875537315</v>
      </c>
      <c r="E13" s="326">
        <f>IF(D13="","",AVERAGE(D13:D15))</f>
        <v>0.45321730657358605</v>
      </c>
      <c r="F13" s="132">
        <f>IF('Correlation Raw Data'!J7="","",('Correlation Raw Data'!J7-'Correlation Raw Data'!I7)/'Correlation Raw Data'!I7)</f>
        <v>0.49298329355608583</v>
      </c>
      <c r="G13" s="326">
        <f>IF(F13="","",AVERAGE(F13:F15))</f>
        <v>0.4915350067450353</v>
      </c>
      <c r="H13" s="132">
        <f>IF('Correlation Raw Data'!M7="","",('Correlation Raw Data'!M7-'Correlation Raw Data'!L7)/'Correlation Raw Data'!L7)</f>
        <v>0.43463647199046473</v>
      </c>
      <c r="I13" s="326">
        <f>IF(H13="","",AVERAGE(H13:H15))</f>
        <v>0.43415180251223573</v>
      </c>
      <c r="L13" s="343"/>
      <c r="M13" s="346"/>
      <c r="N13" s="78">
        <v>350</v>
      </c>
      <c r="O13" s="81">
        <f>G16</f>
        <v>0.40939146335908894</v>
      </c>
      <c r="P13" s="89">
        <f t="shared" si="0"/>
        <v>0.3324279808744824</v>
      </c>
      <c r="Q13" s="94">
        <f>C31</f>
        <v>0.331</v>
      </c>
      <c r="R13" s="98">
        <f t="shared" si="1"/>
        <v>2.0391293778874362E-06</v>
      </c>
    </row>
    <row r="14" spans="1:18" ht="12.75">
      <c r="A14" s="75"/>
      <c r="B14" s="133">
        <f>IF('Correlation Raw Data'!D8="","",('Correlation Raw Data'!D8-'Correlation Raw Data'!C8)/'Correlation Raw Data'!C8)</f>
        <v>0.5264123957091774</v>
      </c>
      <c r="C14" s="327"/>
      <c r="D14" s="133">
        <f>IF('Correlation Raw Data'!G8="","",('Correlation Raw Data'!G8-'Correlation Raw Data'!F8)/'Correlation Raw Data'!F8)</f>
        <v>0.44886769964243145</v>
      </c>
      <c r="E14" s="327"/>
      <c r="F14" s="133">
        <f>IF('Correlation Raw Data'!J8="","",('Correlation Raw Data'!J8-'Correlation Raw Data'!I8)/'Correlation Raw Data'!I8)</f>
        <v>0.4868007242923856</v>
      </c>
      <c r="G14" s="327"/>
      <c r="H14" s="133">
        <f>IF('Correlation Raw Data'!M8="","",('Correlation Raw Data'!M8-'Correlation Raw Data'!L8)/'Correlation Raw Data'!L8)</f>
        <v>0.43249116439010427</v>
      </c>
      <c r="I14" s="327"/>
      <c r="L14" s="343"/>
      <c r="M14" s="346"/>
      <c r="N14" s="78">
        <v>500</v>
      </c>
      <c r="O14" s="81">
        <f>G19</f>
        <v>0.362390203394072</v>
      </c>
      <c r="P14" s="89">
        <f t="shared" si="0"/>
        <v>0.29364772678863993</v>
      </c>
      <c r="Q14" s="94">
        <f>C32</f>
        <v>0.287</v>
      </c>
      <c r="R14" s="98">
        <f t="shared" si="1"/>
        <v>4.419227145640124E-05</v>
      </c>
    </row>
    <row r="15" spans="1:18" ht="13.5" thickBot="1">
      <c r="A15" s="76"/>
      <c r="B15" s="134">
        <f>IF('Correlation Raw Data'!D9="","",('Correlation Raw Data'!D9-'Correlation Raw Data'!C9)/'Correlation Raw Data'!C9)</f>
        <v>0.5295634731110899</v>
      </c>
      <c r="C15" s="135">
        <f>IF(B13="","",STDEV(B13:B15))</f>
        <v>0.0016290053307179534</v>
      </c>
      <c r="D15" s="134">
        <f>IF('Correlation Raw Data'!G9="","",('Correlation Raw Data'!G9-'Correlation Raw Data'!F9)/'Correlation Raw Data'!F9)</f>
        <v>0.4565383513229536</v>
      </c>
      <c r="E15" s="135">
        <f>IF(D13="","",STDEV(D13:D15))</f>
        <v>0.003937407703340655</v>
      </c>
      <c r="F15" s="134">
        <f>IF('Correlation Raw Data'!J9="","",('Correlation Raw Data'!J9-'Correlation Raw Data'!I9)/'Correlation Raw Data'!I9)</f>
        <v>0.49482100238663473</v>
      </c>
      <c r="G15" s="135">
        <f>IF(F13="","",STDEV(F13:F15))</f>
        <v>0.0042017099129485645</v>
      </c>
      <c r="H15" s="134">
        <f>IF('Correlation Raw Data'!M9="","",('Correlation Raw Data'!M9-'Correlation Raw Data'!L9)/'Correlation Raw Data'!L9)</f>
        <v>0.43532777115613824</v>
      </c>
      <c r="I15" s="135">
        <f>IF(H13="","",STDEV(H13:H15))</f>
        <v>0.001479108807229037</v>
      </c>
      <c r="L15" s="344"/>
      <c r="M15" s="347"/>
      <c r="N15" s="79">
        <v>650</v>
      </c>
      <c r="O15" s="82">
        <f>G22</f>
        <v>0.3243396965556688</v>
      </c>
      <c r="P15" s="90">
        <f t="shared" si="0"/>
        <v>0.262252646648519</v>
      </c>
      <c r="Q15" s="95">
        <f>C33</f>
        <v>0.264</v>
      </c>
      <c r="R15" s="99">
        <f t="shared" si="1"/>
        <v>3.053243734931946E-06</v>
      </c>
    </row>
    <row r="16" spans="1:18" ht="12.75">
      <c r="A16" s="74" t="s">
        <v>96</v>
      </c>
      <c r="B16" s="132">
        <f>IF('Correlation Raw Data'!D10="","",('Correlation Raw Data'!D10-'Correlation Raw Data'!C10)/'Correlation Raw Data'!C10)</f>
        <v>0.43804295942720756</v>
      </c>
      <c r="C16" s="326">
        <f>IF(B16="","",AVERAGE(B16:B18))</f>
        <v>0.4379599287353065</v>
      </c>
      <c r="D16" s="132">
        <f>IF('Correlation Raw Data'!G10="","",('Correlation Raw Data'!G10-'Correlation Raw Data'!F10)/'Correlation Raw Data'!F10)</f>
        <v>0.36511572417084226</v>
      </c>
      <c r="E16" s="326">
        <f>IF(D16="","",AVERAGE(D16:D18))</f>
        <v>0.3619483489008635</v>
      </c>
      <c r="F16" s="132">
        <f>IF('Correlation Raw Data'!J10="","",('Correlation Raw Data'!J10-'Correlation Raw Data'!I10)/'Correlation Raw Data'!I10)</f>
        <v>0.4081842042471964</v>
      </c>
      <c r="G16" s="326">
        <f>IF(F16="","",AVERAGE(F16:F18))</f>
        <v>0.40939146335908894</v>
      </c>
      <c r="H16" s="132">
        <f>IF('Correlation Raw Data'!M10="","",('Correlation Raw Data'!M10-'Correlation Raw Data'!L10)/'Correlation Raw Data'!L10)</f>
        <v>0.3534499189936149</v>
      </c>
      <c r="I16" s="326">
        <f>IF(H16="","",AVERAGE(H16:H18))</f>
        <v>0.3494013239318757</v>
      </c>
      <c r="L16" s="342" t="s">
        <v>42</v>
      </c>
      <c r="M16" s="345">
        <v>15</v>
      </c>
      <c r="N16" s="77">
        <v>100</v>
      </c>
      <c r="O16" s="80">
        <f>E10</f>
        <v>0.580982350315781</v>
      </c>
      <c r="P16" s="88">
        <f t="shared" si="0"/>
        <v>0.4740058492113828</v>
      </c>
      <c r="Q16" s="93">
        <f>D29</f>
        <v>0.497</v>
      </c>
      <c r="R16" s="97">
        <f t="shared" si="1"/>
        <v>0.0005287309704896658</v>
      </c>
    </row>
    <row r="17" spans="1:18" ht="12.75">
      <c r="A17" s="75"/>
      <c r="B17" s="133">
        <f>IF('Correlation Raw Data'!D11="","",('Correlation Raw Data'!D11-'Correlation Raw Data'!C11)/'Correlation Raw Data'!C11)</f>
        <v>0.43662441627751847</v>
      </c>
      <c r="C17" s="327"/>
      <c r="D17" s="133">
        <f>IF('Correlation Raw Data'!G11="","",('Correlation Raw Data'!G11-'Correlation Raw Data'!F11)/'Correlation Raw Data'!F11)</f>
        <v>0.35589992620628913</v>
      </c>
      <c r="E17" s="327"/>
      <c r="F17" s="133">
        <f>IF('Correlation Raw Data'!J11="","",('Correlation Raw Data'!J11-'Correlation Raw Data'!I11)/'Correlation Raw Data'!I11)</f>
        <v>0.40617486729034247</v>
      </c>
      <c r="G17" s="327"/>
      <c r="H17" s="133">
        <f>IF('Correlation Raw Data'!M11="","",('Correlation Raw Data'!M11-'Correlation Raw Data'!L11)/'Correlation Raw Data'!L11)</f>
        <v>0.3504393924921197</v>
      </c>
      <c r="I17" s="327"/>
      <c r="L17" s="343"/>
      <c r="M17" s="346"/>
      <c r="N17" s="78">
        <v>200</v>
      </c>
      <c r="O17" s="81">
        <f>E13</f>
        <v>0.45321730657358605</v>
      </c>
      <c r="P17" s="89">
        <f t="shared" si="0"/>
        <v>0.36858823140073405</v>
      </c>
      <c r="Q17" s="94">
        <f>D30</f>
        <v>0.379</v>
      </c>
      <c r="R17" s="98">
        <f t="shared" si="1"/>
        <v>0.00010840492536466062</v>
      </c>
    </row>
    <row r="18" spans="1:18" ht="13.5" customHeight="1" thickBot="1">
      <c r="A18" s="76"/>
      <c r="B18" s="134">
        <f>IF('Correlation Raw Data'!D12="","",('Correlation Raw Data'!D12-'Correlation Raw Data'!C12)/'Correlation Raw Data'!C12)</f>
        <v>0.4392124105011933</v>
      </c>
      <c r="C18" s="135">
        <f>IF(B16="","",STDEV(B16:B18))</f>
        <v>0.0012959934788770219</v>
      </c>
      <c r="D18" s="134">
        <f>IF('Correlation Raw Data'!G12="","",('Correlation Raw Data'!G12-'Correlation Raw Data'!F12)/'Correlation Raw Data'!F12)</f>
        <v>0.3648293963254593</v>
      </c>
      <c r="E18" s="135">
        <f>IF(D16="","",STDEV(D16:D18))</f>
        <v>0.005240043771567437</v>
      </c>
      <c r="F18" s="134">
        <f>IF('Correlation Raw Data'!J12="","",('Correlation Raw Data'!J12-'Correlation Raw Data'!I12)/'Correlation Raw Data'!I12)</f>
        <v>0.413815318539728</v>
      </c>
      <c r="G18" s="135">
        <f>IF(F16="","",STDEV(F16:F18))</f>
        <v>0.003960710762728708</v>
      </c>
      <c r="H18" s="134">
        <f>IF('Correlation Raw Data'!M12="","",('Correlation Raw Data'!M12-'Correlation Raw Data'!L12)/'Correlation Raw Data'!L12)</f>
        <v>0.34431466030989266</v>
      </c>
      <c r="I18" s="135">
        <f>IF(H16="","",STDEV(H16:H18))</f>
        <v>0.004655258054765148</v>
      </c>
      <c r="L18" s="343"/>
      <c r="M18" s="346"/>
      <c r="N18" s="78">
        <v>350</v>
      </c>
      <c r="O18" s="81">
        <f>E16</f>
        <v>0.3619483489008635</v>
      </c>
      <c r="P18" s="89">
        <f t="shared" si="0"/>
        <v>0.29328315721054027</v>
      </c>
      <c r="Q18" s="94">
        <f>D31</f>
        <v>0.307</v>
      </c>
      <c r="R18" s="98">
        <f t="shared" si="1"/>
        <v>0.00018815177611075328</v>
      </c>
    </row>
    <row r="19" spans="1:18" ht="12.75">
      <c r="A19" s="74" t="s">
        <v>97</v>
      </c>
      <c r="B19" s="132">
        <f>IF('Correlation Raw Data'!D13="","",('Correlation Raw Data'!D13-'Correlation Raw Data'!C13)/'Correlation Raw Data'!C13)</f>
        <v>0.3866714183891662</v>
      </c>
      <c r="C19" s="326">
        <f>IF(B19="","",AVERAGE(B19:B21))</f>
        <v>0.39232728903120256</v>
      </c>
      <c r="D19" s="132">
        <f>IF('Correlation Raw Data'!G13="","",('Correlation Raw Data'!G13-'Correlation Raw Data'!F13)/'Correlation Raw Data'!F13)</f>
        <v>0.3248117792814259</v>
      </c>
      <c r="E19" s="326">
        <f>IF(D19="","",AVERAGE(D19:D21))</f>
        <v>0.3267987420639786</v>
      </c>
      <c r="F19" s="132">
        <f>IF('Correlation Raw Data'!J13="","",('Correlation Raw Data'!J13-'Correlation Raw Data'!I13)/'Correlation Raw Data'!I13)</f>
        <v>0.36553156939535786</v>
      </c>
      <c r="G19" s="326">
        <f>IF(F19="","",AVERAGE(F19:F21))</f>
        <v>0.362390203394072</v>
      </c>
      <c r="H19" s="132">
        <f>IF('Correlation Raw Data'!M13="","",('Correlation Raw Data'!M13-'Correlation Raw Data'!L13)/'Correlation Raw Data'!L13)</f>
        <v>0.301748784904222</v>
      </c>
      <c r="I19" s="326">
        <f>IF(H19="","",AVERAGE(H19:H21))</f>
        <v>0.30350253428792673</v>
      </c>
      <c r="L19" s="343"/>
      <c r="M19" s="346"/>
      <c r="N19" s="78">
        <v>500</v>
      </c>
      <c r="O19" s="83">
        <f>E19</f>
        <v>0.3267987420639786</v>
      </c>
      <c r="P19" s="89">
        <f t="shared" si="0"/>
        <v>0.26428157969609856</v>
      </c>
      <c r="Q19" s="94">
        <f>D32</f>
        <v>0.255</v>
      </c>
      <c r="R19" s="98">
        <f t="shared" si="1"/>
        <v>8.61477216550289E-05</v>
      </c>
    </row>
    <row r="20" spans="1:18" ht="13.5" thickBot="1">
      <c r="A20" s="75"/>
      <c r="B20" s="133">
        <f>IF('Correlation Raw Data'!D14="","",('Correlation Raw Data'!D14-'Correlation Raw Data'!C14)/'Correlation Raw Data'!C14)</f>
        <v>0.3953710331663088</v>
      </c>
      <c r="C20" s="327"/>
      <c r="D20" s="133">
        <f>IF('Correlation Raw Data'!G14="","",('Correlation Raw Data'!G14-'Correlation Raw Data'!F14)/'Correlation Raw Data'!F14)</f>
        <v>0.329033412887828</v>
      </c>
      <c r="E20" s="327"/>
      <c r="F20" s="133">
        <f>IF('Correlation Raw Data'!J14="","",('Correlation Raw Data'!J14-'Correlation Raw Data'!I14)/'Correlation Raw Data'!I14)</f>
        <v>0.3600476758045291</v>
      </c>
      <c r="G20" s="327"/>
      <c r="H20" s="133">
        <f>IF('Correlation Raw Data'!M14="","",('Correlation Raw Data'!M14-'Correlation Raw Data'!L14)/'Correlation Raw Data'!L14)</f>
        <v>0.30312649164677785</v>
      </c>
      <c r="I20" s="327"/>
      <c r="L20" s="343"/>
      <c r="M20" s="347"/>
      <c r="N20" s="79">
        <v>650</v>
      </c>
      <c r="O20" s="82">
        <f>E22</f>
        <v>0.2997101046151278</v>
      </c>
      <c r="P20" s="90">
        <f t="shared" si="0"/>
        <v>0.24193102475592057</v>
      </c>
      <c r="Q20" s="95">
        <f>D33</f>
        <v>0.241</v>
      </c>
      <c r="R20" s="99">
        <f t="shared" si="1"/>
        <v>8.668070961369731E-07</v>
      </c>
    </row>
    <row r="21" spans="1:18" ht="13.5" thickBot="1">
      <c r="A21" s="76"/>
      <c r="B21" s="134">
        <f>IF('Correlation Raw Data'!D15="","",('Correlation Raw Data'!D15-'Correlation Raw Data'!C15)/'Correlation Raw Data'!C15)</f>
        <v>0.3949394155381326</v>
      </c>
      <c r="C21" s="135">
        <f>IF(B19="","",STDEV(B19:B21))</f>
        <v>0.004902879560403714</v>
      </c>
      <c r="D21" s="134">
        <f>IF('Correlation Raw Data'!G15="","",('Correlation Raw Data'!G15-'Correlation Raw Data'!F15)/'Correlation Raw Data'!F15)</f>
        <v>0.32655103402268193</v>
      </c>
      <c r="E21" s="135">
        <f>IF(D19="","",STDEV(D19:D21))</f>
        <v>0.0021216896643873663</v>
      </c>
      <c r="F21" s="134">
        <f>IF('Correlation Raw Data'!J15="","",('Correlation Raw Data'!J15-'Correlation Raw Data'!I15)/'Correlation Raw Data'!I15)</f>
        <v>0.36159136498232897</v>
      </c>
      <c r="G21" s="135">
        <f>IF(F19="","",STDEV(F19:F21))</f>
        <v>0.002827875410080897</v>
      </c>
      <c r="H21" s="134">
        <f>IF('Correlation Raw Data'!M15="","",('Correlation Raw Data'!M15-'Correlation Raw Data'!L15)/'Correlation Raw Data'!L15)</f>
        <v>0.3056323263127802</v>
      </c>
      <c r="I21" s="135">
        <f>IF(H19="","",STDEV(H19:H21))</f>
        <v>0.001968890428380451</v>
      </c>
      <c r="L21" s="343"/>
      <c r="M21" s="345">
        <v>4</v>
      </c>
      <c r="N21" s="84">
        <v>100</v>
      </c>
      <c r="O21" s="85">
        <f>C10</f>
        <v>0.6596422353186543</v>
      </c>
      <c r="P21" s="91">
        <f t="shared" si="0"/>
        <v>0.5389073077902597</v>
      </c>
      <c r="Q21" s="96">
        <f>E29</f>
        <v>0.528</v>
      </c>
      <c r="R21" s="101">
        <f t="shared" si="1"/>
        <v>0.00011896936323146046</v>
      </c>
    </row>
    <row r="22" spans="1:18" ht="12.75">
      <c r="A22" s="74" t="s">
        <v>98</v>
      </c>
      <c r="B22" s="132">
        <f>IF('Correlation Raw Data'!D16="","",('Correlation Raw Data'!D16-'Correlation Raw Data'!C16)/'Correlation Raw Data'!C16)</f>
        <v>0.3571156138259833</v>
      </c>
      <c r="C22" s="326">
        <f>IF(B22="","",AVERAGE(B22:B24))</f>
        <v>0.3581377078126833</v>
      </c>
      <c r="D22" s="132">
        <f>IF('Correlation Raw Data'!G16="","",('Correlation Raw Data'!G16-'Correlation Raw Data'!F16)/'Correlation Raw Data'!F16)</f>
        <v>0.3004772130756384</v>
      </c>
      <c r="E22" s="326">
        <f>IF(D22="","",AVERAGE(D22:D24))</f>
        <v>0.2997101046151278</v>
      </c>
      <c r="F22" s="132">
        <f>IF('Correlation Raw Data'!J16="","",('Correlation Raw Data'!J16-'Correlation Raw Data'!I16)/'Correlation Raw Data'!I16)</f>
        <v>0.3218336033546175</v>
      </c>
      <c r="G22" s="326">
        <f>IF(F22="","",AVERAGE(F22:F24))</f>
        <v>0.3243396965556688</v>
      </c>
      <c r="H22" s="132">
        <f>IF('Correlation Raw Data'!M16="","",('Correlation Raw Data'!M16-'Correlation Raw Data'!L16)/'Correlation Raw Data'!L16)</f>
        <v>0.28346062052505955</v>
      </c>
      <c r="I22" s="326">
        <f>IF(H22="","",AVERAGE(H22:H24))</f>
        <v>0.2827504414239564</v>
      </c>
      <c r="L22" s="343"/>
      <c r="M22" s="346"/>
      <c r="N22" s="78">
        <v>200</v>
      </c>
      <c r="O22" s="81">
        <f>C13</f>
        <v>0.5277489531212589</v>
      </c>
      <c r="P22" s="89">
        <f t="shared" si="0"/>
        <v>0.4300835230738988</v>
      </c>
      <c r="Q22" s="94">
        <f>E30</f>
        <v>0.431</v>
      </c>
      <c r="R22" s="98">
        <f t="shared" si="1"/>
        <v>8.399299560758955E-07</v>
      </c>
    </row>
    <row r="23" spans="1:18" ht="12.75">
      <c r="A23" s="75"/>
      <c r="B23" s="133">
        <f>IF('Correlation Raw Data'!D17="","",('Correlation Raw Data'!D17-'Correlation Raw Data'!C17)/'Correlation Raw Data'!C17)</f>
        <v>0.3598720030566436</v>
      </c>
      <c r="C23" s="327"/>
      <c r="D23" s="133">
        <f>IF('Correlation Raw Data'!G17="","",('Correlation Raw Data'!G17-'Correlation Raw Data'!F17)/'Correlation Raw Data'!F17)</f>
        <v>0.2974600680806494</v>
      </c>
      <c r="E23" s="332"/>
      <c r="F23" s="133">
        <f>IF('Correlation Raw Data'!J17="","",('Correlation Raw Data'!J17-'Correlation Raw Data'!I17)/'Correlation Raw Data'!I17)</f>
        <v>0.32718377088305484</v>
      </c>
      <c r="G23" s="332"/>
      <c r="H23" s="133">
        <f>IF('Correlation Raw Data'!M17="","",('Correlation Raw Data'!M17-'Correlation Raw Data'!L17)/'Correlation Raw Data'!L17)</f>
        <v>0.2815210140093397</v>
      </c>
      <c r="I23" s="332"/>
      <c r="L23" s="343"/>
      <c r="M23" s="346"/>
      <c r="N23" s="78">
        <v>350</v>
      </c>
      <c r="O23" s="81">
        <f>C16</f>
        <v>0.4379599287353065</v>
      </c>
      <c r="P23" s="89">
        <f t="shared" si="0"/>
        <v>0.3559995265512773</v>
      </c>
      <c r="Q23" s="94">
        <f>E31</f>
        <v>0.358</v>
      </c>
      <c r="R23" s="98">
        <f t="shared" si="1"/>
        <v>4.001894019044384E-06</v>
      </c>
    </row>
    <row r="24" spans="1:18" ht="13.5" thickBot="1">
      <c r="A24" s="76"/>
      <c r="B24" s="134">
        <f>IF('Correlation Raw Data'!D18="","",('Correlation Raw Data'!D18-'Correlation Raw Data'!C18)/'Correlation Raw Data'!C18)</f>
        <v>0.357425506555423</v>
      </c>
      <c r="C24" s="135">
        <f>IF(B22="","",STDEV(B22:B24))</f>
        <v>0.0015099150210715064</v>
      </c>
      <c r="D24" s="134">
        <f>IF('Correlation Raw Data'!G18="","",('Correlation Raw Data'!G18-'Correlation Raw Data'!F18)/'Correlation Raw Data'!F18)</f>
        <v>0.30119303268909564</v>
      </c>
      <c r="E24" s="135">
        <f>IF(D22="","",STDEV(D22:D24))</f>
        <v>0.0019811859414548267</v>
      </c>
      <c r="F24" s="134">
        <f>IF('Correlation Raw Data'!J18="","",('Correlation Raw Data'!J18-'Correlation Raw Data'!I18)/'Correlation Raw Data'!I18)</f>
        <v>0.324001715429334</v>
      </c>
      <c r="G24" s="135">
        <f>IF(F22="","",STDEV(F22:F24))</f>
        <v>0.0026910493449405857</v>
      </c>
      <c r="H24" s="134">
        <f>IF('Correlation Raw Data'!M18="","",('Correlation Raw Data'!M18-'Correlation Raw Data'!L18)/'Correlation Raw Data'!L18)</f>
        <v>0.2832696897374701</v>
      </c>
      <c r="I24" s="135">
        <f>IF(H22="","",STDEV(H22:H24))</f>
        <v>0.0010689866543932042</v>
      </c>
      <c r="L24" s="343"/>
      <c r="M24" s="346"/>
      <c r="N24" s="78">
        <v>500</v>
      </c>
      <c r="O24" s="81">
        <f>C19</f>
        <v>0.39232728903120256</v>
      </c>
      <c r="P24" s="89">
        <f t="shared" si="0"/>
        <v>0.3183485069052082</v>
      </c>
      <c r="Q24" s="94">
        <f>E32</f>
        <v>0.3</v>
      </c>
      <c r="R24" s="98">
        <f t="shared" si="1"/>
        <v>0.00033666770565047406</v>
      </c>
    </row>
    <row r="25" spans="12:18" ht="13.5" thickBot="1">
      <c r="L25" s="344"/>
      <c r="M25" s="347"/>
      <c r="N25" s="79">
        <v>650</v>
      </c>
      <c r="O25" s="82">
        <f>C22</f>
        <v>0.3581377078126833</v>
      </c>
      <c r="P25" s="90">
        <f t="shared" si="0"/>
        <v>0.2901390366116548</v>
      </c>
      <c r="Q25" s="95">
        <f>E33</f>
        <v>0.28</v>
      </c>
      <c r="R25" s="99">
        <f t="shared" si="1"/>
        <v>0.00010280006341247589</v>
      </c>
    </row>
    <row r="26" spans="1:18" ht="14.25">
      <c r="A26" s="15" t="s">
        <v>13</v>
      </c>
      <c r="B26" s="15"/>
      <c r="C26" s="15"/>
      <c r="D26" s="15"/>
      <c r="E26" s="15"/>
      <c r="G26" s="15" t="s">
        <v>704</v>
      </c>
      <c r="H26" s="15"/>
      <c r="I26" s="15"/>
      <c r="J26" s="15"/>
      <c r="K26" s="15"/>
      <c r="N26" s="15"/>
      <c r="O26" s="15"/>
      <c r="P26" s="27"/>
      <c r="Q26" s="28" t="s">
        <v>43</v>
      </c>
      <c r="R26" s="20">
        <f>SQRT(SUM(R6:R25)/(COUNT(R6:R25)-2))</f>
        <v>0.010138073195178971</v>
      </c>
    </row>
    <row r="27" spans="1:11" ht="13.5" customHeight="1">
      <c r="A27" s="19"/>
      <c r="B27" s="335" t="s">
        <v>4</v>
      </c>
      <c r="C27" s="336"/>
      <c r="D27" s="335" t="s">
        <v>5</v>
      </c>
      <c r="E27" s="336"/>
      <c r="G27" s="19"/>
      <c r="H27" s="335" t="s">
        <v>4</v>
      </c>
      <c r="I27" s="336"/>
      <c r="J27" s="335" t="s">
        <v>5</v>
      </c>
      <c r="K27" s="336"/>
    </row>
    <row r="28" spans="1:15" ht="26.25" thickBot="1">
      <c r="A28" s="17" t="s">
        <v>2</v>
      </c>
      <c r="B28" s="19" t="s">
        <v>0</v>
      </c>
      <c r="C28" s="19" t="s">
        <v>1</v>
      </c>
      <c r="D28" s="19" t="s">
        <v>0</v>
      </c>
      <c r="E28" s="19" t="s">
        <v>1</v>
      </c>
      <c r="G28" s="17" t="s">
        <v>2</v>
      </c>
      <c r="H28" s="19" t="s">
        <v>0</v>
      </c>
      <c r="I28" s="19" t="s">
        <v>1</v>
      </c>
      <c r="J28" s="19" t="s">
        <v>0</v>
      </c>
      <c r="K28" s="19" t="s">
        <v>1</v>
      </c>
      <c r="O28" s="67" t="s">
        <v>284</v>
      </c>
    </row>
    <row r="29" spans="1:16" ht="15">
      <c r="A29" s="17">
        <v>100</v>
      </c>
      <c r="B29" s="18">
        <v>0.459</v>
      </c>
      <c r="C29" s="18">
        <v>0.499</v>
      </c>
      <c r="D29" s="18">
        <v>0.497</v>
      </c>
      <c r="E29" s="18">
        <v>0.528</v>
      </c>
      <c r="G29" s="17">
        <v>100</v>
      </c>
      <c r="H29" s="18">
        <f>I10</f>
        <v>0.5686949740902183</v>
      </c>
      <c r="I29" s="18">
        <f>G10</f>
        <v>0.6224814792996444</v>
      </c>
      <c r="J29" s="18">
        <f>E10</f>
        <v>0.580982350315781</v>
      </c>
      <c r="K29" s="18">
        <f>C10</f>
        <v>0.6596422353186543</v>
      </c>
      <c r="O29" s="21" t="s">
        <v>6</v>
      </c>
      <c r="P29" s="22"/>
    </row>
    <row r="30" spans="1:16" ht="15">
      <c r="A30" s="17">
        <v>200</v>
      </c>
      <c r="B30" s="18">
        <v>0.357</v>
      </c>
      <c r="C30" s="18">
        <v>0.404</v>
      </c>
      <c r="D30" s="18">
        <v>0.379</v>
      </c>
      <c r="E30" s="18">
        <v>0.431</v>
      </c>
      <c r="G30" s="17">
        <v>200</v>
      </c>
      <c r="H30" s="18">
        <f>I13</f>
        <v>0.43415180251223573</v>
      </c>
      <c r="I30" s="18">
        <f>G13</f>
        <v>0.4915350067450353</v>
      </c>
      <c r="J30" s="18">
        <f>E13</f>
        <v>0.45321730657358605</v>
      </c>
      <c r="K30" s="18">
        <f>C13</f>
        <v>0.5277489531212589</v>
      </c>
      <c r="O30" s="23" t="s">
        <v>7</v>
      </c>
      <c r="P30" s="24">
        <f>IF(O6="","",SLOPE(Q6:Q25,O6:O25))</f>
        <v>0.8250896702494073</v>
      </c>
    </row>
    <row r="31" spans="1:16" ht="15.75" thickBot="1">
      <c r="A31" s="17">
        <v>350</v>
      </c>
      <c r="B31" s="18">
        <v>0.296</v>
      </c>
      <c r="C31" s="18">
        <v>0.331</v>
      </c>
      <c r="D31" s="18">
        <v>0.307</v>
      </c>
      <c r="E31" s="18">
        <v>0.358</v>
      </c>
      <c r="G31" s="17">
        <v>350</v>
      </c>
      <c r="H31" s="18">
        <f>I16</f>
        <v>0.3494013239318757</v>
      </c>
      <c r="I31" s="18">
        <f>G16</f>
        <v>0.40939146335908894</v>
      </c>
      <c r="J31" s="18">
        <f>E16</f>
        <v>0.3619483489008635</v>
      </c>
      <c r="K31" s="18">
        <f>C16</f>
        <v>0.4379599287353065</v>
      </c>
      <c r="O31" s="25" t="s">
        <v>8</v>
      </c>
      <c r="P31" s="26">
        <f>IF(O6="","",INTERCEPT(Q6:Q25,O6:O25))</f>
        <v>-0.005356686631390606</v>
      </c>
    </row>
    <row r="32" spans="1:11" ht="12.75">
      <c r="A32" s="17">
        <v>500</v>
      </c>
      <c r="B32" s="18">
        <v>0.242</v>
      </c>
      <c r="C32" s="18">
        <v>0.287</v>
      </c>
      <c r="D32" s="18">
        <v>0.255</v>
      </c>
      <c r="E32" s="18">
        <v>0.3</v>
      </c>
      <c r="G32" s="17">
        <v>500</v>
      </c>
      <c r="H32" s="18">
        <f>I19</f>
        <v>0.30350253428792673</v>
      </c>
      <c r="I32" s="18">
        <f>G19</f>
        <v>0.362390203394072</v>
      </c>
      <c r="J32" s="18">
        <f>E19</f>
        <v>0.3267987420639786</v>
      </c>
      <c r="K32" s="18">
        <f>C19</f>
        <v>0.39232728903120256</v>
      </c>
    </row>
    <row r="33" spans="1:11" ht="12.75">
      <c r="A33" s="31">
        <v>650</v>
      </c>
      <c r="B33" s="32">
        <v>0.23</v>
      </c>
      <c r="C33" s="32">
        <v>0.264</v>
      </c>
      <c r="D33" s="32">
        <v>0.241</v>
      </c>
      <c r="E33" s="32">
        <v>0.28</v>
      </c>
      <c r="G33" s="31">
        <v>650</v>
      </c>
      <c r="H33" s="32">
        <f>I22</f>
        <v>0.2827504414239564</v>
      </c>
      <c r="I33" s="32">
        <f>G22</f>
        <v>0.3243396965556688</v>
      </c>
      <c r="J33" s="32">
        <f>E22</f>
        <v>0.2997101046151278</v>
      </c>
      <c r="K33" s="32">
        <f>C22</f>
        <v>0.3581377078126833</v>
      </c>
    </row>
    <row r="34" spans="1:11" ht="12.75">
      <c r="A34" s="16" t="s">
        <v>57</v>
      </c>
      <c r="B34" s="16"/>
      <c r="D34" s="16"/>
      <c r="E34" s="16"/>
      <c r="G34" s="16" t="s">
        <v>57</v>
      </c>
      <c r="H34" s="16"/>
      <c r="J34" s="16"/>
      <c r="K34" s="16"/>
    </row>
  </sheetData>
  <sheetProtection/>
  <mergeCells count="45">
    <mergeCell ref="J27:K27"/>
    <mergeCell ref="L5:N5"/>
    <mergeCell ref="L6:L15"/>
    <mergeCell ref="M6:M10"/>
    <mergeCell ref="M11:M15"/>
    <mergeCell ref="B27:C27"/>
    <mergeCell ref="D27:E27"/>
    <mergeCell ref="L16:L25"/>
    <mergeCell ref="M16:M20"/>
    <mergeCell ref="M21:M25"/>
    <mergeCell ref="B8:B9"/>
    <mergeCell ref="C8:C9"/>
    <mergeCell ref="D8:D9"/>
    <mergeCell ref="F8:F9"/>
    <mergeCell ref="H27:I27"/>
    <mergeCell ref="B6:E6"/>
    <mergeCell ref="F6:I6"/>
    <mergeCell ref="B7:C7"/>
    <mergeCell ref="D7:E7"/>
    <mergeCell ref="F7:G7"/>
    <mergeCell ref="H7:I7"/>
    <mergeCell ref="C16:C17"/>
    <mergeCell ref="C10:C11"/>
    <mergeCell ref="E10:E11"/>
    <mergeCell ref="G10:G11"/>
    <mergeCell ref="I10:I11"/>
    <mergeCell ref="C13:C14"/>
    <mergeCell ref="E13:E14"/>
    <mergeCell ref="G8:G9"/>
    <mergeCell ref="C22:C23"/>
    <mergeCell ref="E22:E23"/>
    <mergeCell ref="G22:G23"/>
    <mergeCell ref="I22:I23"/>
    <mergeCell ref="G16:G17"/>
    <mergeCell ref="E16:E17"/>
    <mergeCell ref="I16:I17"/>
    <mergeCell ref="C19:C20"/>
    <mergeCell ref="E19:E20"/>
    <mergeCell ref="G19:G20"/>
    <mergeCell ref="I19:I20"/>
    <mergeCell ref="I8:I9"/>
    <mergeCell ref="H8:H9"/>
    <mergeCell ref="E8:E9"/>
    <mergeCell ref="G13:G14"/>
    <mergeCell ref="I13:I14"/>
  </mergeCells>
  <printOptions/>
  <pageMargins left="0.7" right="0.7" top="0.75" bottom="0.75" header="0.3" footer="0.3"/>
  <pageSetup orientation="portrait" paperSize="9"/>
  <ignoredErrors>
    <ignoredError sqref="D11:H24 D10 F10:H10" formula="1"/>
    <ignoredError sqref="P11:R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80" zoomScaleNormal="80" zoomScalePageLayoutView="0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11.28125" style="0" bestFit="1" customWidth="1"/>
    <col min="3" max="3" width="10.140625" style="0" bestFit="1" customWidth="1"/>
    <col min="4" max="4" width="11.28125" style="0" customWidth="1"/>
    <col min="5" max="5" width="16.28125" style="0" customWidth="1"/>
    <col min="6" max="6" width="9.140625" style="0" customWidth="1"/>
    <col min="7" max="7" width="16.140625" style="0" customWidth="1"/>
    <col min="8" max="8" width="12.57421875" style="0" bestFit="1" customWidth="1"/>
    <col min="9" max="9" width="7.00390625" style="0" customWidth="1"/>
    <col min="10" max="10" width="16.421875" style="0" bestFit="1" customWidth="1"/>
    <col min="11" max="11" width="12.00390625" style="0" bestFit="1" customWidth="1"/>
    <col min="12" max="12" width="19.57421875" style="0" bestFit="1" customWidth="1"/>
    <col min="13" max="13" width="15.421875" style="0" customWidth="1"/>
    <col min="14" max="14" width="6.7109375" style="0" bestFit="1" customWidth="1"/>
    <col min="15" max="15" width="21.140625" style="0" customWidth="1"/>
    <col min="16" max="16" width="12.421875" style="0" bestFit="1" customWidth="1"/>
    <col min="17" max="17" width="6.8515625" style="0" customWidth="1"/>
    <col min="20" max="20" width="12.421875" style="0" bestFit="1" customWidth="1"/>
  </cols>
  <sheetData>
    <row r="1" spans="1:15" ht="18">
      <c r="A1" s="37" t="s">
        <v>73</v>
      </c>
      <c r="J1" s="115" t="str">
        <f>"Final conclusions on the acceptance of energy cloth"&amp;'Correlation Raw Data'!B20</f>
        <v>Final conclusions on the acceptance of energy cloth19</v>
      </c>
      <c r="K1" s="115"/>
      <c r="L1" s="116"/>
      <c r="M1" s="117"/>
      <c r="N1" s="117"/>
      <c r="O1" s="117"/>
    </row>
    <row r="2" spans="1:15" ht="18">
      <c r="A2" s="108" t="str">
        <f>"Statistical Test for Lot x Spin Speed Interaction - - - Lot #"&amp;'Correlation Raw Data'!B20</f>
        <v>Statistical Test for Lot x Spin Speed Interaction - - - Lot #19</v>
      </c>
      <c r="J2" s="118" t="str">
        <f>IF(O9=TRUE,"This lot is acceptable","Do not accept the lot, investigate the reasons")</f>
        <v>This lot is acceptable</v>
      </c>
      <c r="K2" s="117"/>
      <c r="L2" s="117"/>
      <c r="M2" s="117"/>
      <c r="N2" s="117"/>
      <c r="O2" s="117"/>
    </row>
    <row r="3" ht="18">
      <c r="A3" s="108"/>
    </row>
    <row r="4" spans="4:11" ht="15">
      <c r="D4" s="224"/>
      <c r="E4" s="224"/>
      <c r="G4" s="350" t="s">
        <v>79</v>
      </c>
      <c r="H4" s="350"/>
      <c r="K4" s="49" t="s">
        <v>80</v>
      </c>
    </row>
    <row r="5" spans="2:16" ht="32.25" thickBot="1">
      <c r="B5" s="12" t="s">
        <v>15</v>
      </c>
      <c r="C5" s="12" t="s">
        <v>59</v>
      </c>
      <c r="D5" s="230" t="s">
        <v>287</v>
      </c>
      <c r="E5" s="230" t="str">
        <f>"Uncorrected Lot "&amp;'Correlation Raw Data'!B20</f>
        <v>Uncorrected Lot 19</v>
      </c>
      <c r="G5" s="351"/>
      <c r="H5" s="351"/>
      <c r="K5" s="307" t="s">
        <v>84</v>
      </c>
      <c r="L5" s="307"/>
      <c r="M5" s="352" t="s">
        <v>82</v>
      </c>
      <c r="N5" s="348" t="s">
        <v>87</v>
      </c>
      <c r="O5" s="348" t="s">
        <v>88</v>
      </c>
      <c r="P5" s="348"/>
    </row>
    <row r="6" spans="2:16" ht="15">
      <c r="B6" s="38" t="s">
        <v>16</v>
      </c>
      <c r="C6" s="41">
        <v>100</v>
      </c>
      <c r="D6" s="208">
        <v>0.528</v>
      </c>
      <c r="E6" s="209">
        <f>Correction!C10</f>
        <v>0.6596422353186543</v>
      </c>
      <c r="G6" s="1"/>
      <c r="H6" s="36" t="s">
        <v>71</v>
      </c>
      <c r="K6" s="307"/>
      <c r="L6" s="307"/>
      <c r="M6" s="352"/>
      <c r="N6" s="348"/>
      <c r="O6" s="348"/>
      <c r="P6" s="348"/>
    </row>
    <row r="7" spans="2:16" ht="15">
      <c r="B7" s="39" t="s">
        <v>17</v>
      </c>
      <c r="C7" s="42">
        <v>100</v>
      </c>
      <c r="D7" s="210">
        <v>0.499</v>
      </c>
      <c r="E7" s="211">
        <f>Correction!G10</f>
        <v>0.6224814792996444</v>
      </c>
      <c r="G7" s="1" t="s">
        <v>66</v>
      </c>
      <c r="H7" s="36" t="s">
        <v>72</v>
      </c>
      <c r="K7" s="36"/>
      <c r="L7" s="1" t="s">
        <v>75</v>
      </c>
      <c r="M7" s="1" t="s">
        <v>86</v>
      </c>
      <c r="N7" s="57">
        <f>D30</f>
        <v>0.010138073195178673</v>
      </c>
      <c r="O7" s="348" t="str">
        <f>IF(D30&lt;2%,"Acceptance criteria met","Does not meet acceptance criteria")</f>
        <v>Acceptance criteria met</v>
      </c>
      <c r="P7" s="348"/>
    </row>
    <row r="8" spans="2:16" ht="15">
      <c r="B8" s="39" t="s">
        <v>18</v>
      </c>
      <c r="C8" s="42">
        <v>100</v>
      </c>
      <c r="D8" s="212">
        <v>0.497</v>
      </c>
      <c r="E8" s="211">
        <f>Correction!E10</f>
        <v>0.580982350315781</v>
      </c>
      <c r="G8" s="1" t="s">
        <v>67</v>
      </c>
      <c r="H8" s="44">
        <f>L19</f>
        <v>0.45607525242176117</v>
      </c>
      <c r="K8" s="36" t="s">
        <v>83</v>
      </c>
      <c r="L8" s="1" t="s">
        <v>74</v>
      </c>
      <c r="M8" s="1" t="s">
        <v>85</v>
      </c>
      <c r="N8" s="44">
        <f>MIN(H8:H13)</f>
        <v>0.45607525242176117</v>
      </c>
      <c r="O8" s="349" t="str">
        <f>IF(N8&gt;0.1,"Acceptance criteria met","Does not meet acceptance criteria")</f>
        <v>Acceptance criteria met</v>
      </c>
      <c r="P8" s="349"/>
    </row>
    <row r="9" spans="2:16" ht="15.75" thickBot="1">
      <c r="B9" s="40" t="s">
        <v>19</v>
      </c>
      <c r="C9" s="43">
        <v>100</v>
      </c>
      <c r="D9" s="212">
        <v>0.459</v>
      </c>
      <c r="E9" s="213">
        <f>Correction!I10</f>
        <v>0.5686949740902183</v>
      </c>
      <c r="F9" s="225"/>
      <c r="G9" s="226" t="s">
        <v>68</v>
      </c>
      <c r="H9" s="227">
        <f>L29</f>
        <v>0.6057328419011347</v>
      </c>
      <c r="K9" s="67" t="s">
        <v>286</v>
      </c>
      <c r="O9" s="114" t="b">
        <f>AND(O7="Acceptance criteria met",O8="Acceptance criteria met")</f>
        <v>1</v>
      </c>
      <c r="P9" s="13"/>
    </row>
    <row r="10" spans="2:16" ht="15">
      <c r="B10" s="38" t="s">
        <v>20</v>
      </c>
      <c r="C10" s="41">
        <v>200</v>
      </c>
      <c r="D10" s="214">
        <v>0.431</v>
      </c>
      <c r="E10" s="209">
        <f>Correction!C13</f>
        <v>0.5277489531212589</v>
      </c>
      <c r="F10" s="225"/>
      <c r="G10" s="226" t="s">
        <v>69</v>
      </c>
      <c r="H10" s="227">
        <f>T19</f>
        <v>0.6153356782743967</v>
      </c>
      <c r="O10" s="13"/>
      <c r="P10" s="111"/>
    </row>
    <row r="11" spans="2:8" ht="15">
      <c r="B11" s="39" t="s">
        <v>21</v>
      </c>
      <c r="C11" s="42">
        <v>200</v>
      </c>
      <c r="D11" s="212">
        <v>0.404</v>
      </c>
      <c r="E11" s="211">
        <f>Correction!G13</f>
        <v>0.4915350067450353</v>
      </c>
      <c r="F11" s="225"/>
      <c r="G11" s="228" t="s">
        <v>280</v>
      </c>
      <c r="H11" s="227">
        <f>L39</f>
        <v>0.8882176163517643</v>
      </c>
    </row>
    <row r="12" spans="2:16" ht="15">
      <c r="B12" s="39" t="s">
        <v>22</v>
      </c>
      <c r="C12" s="42">
        <v>200</v>
      </c>
      <c r="D12" s="212">
        <v>0.379</v>
      </c>
      <c r="E12" s="211">
        <f>Correction!E13</f>
        <v>0.45321730657358605</v>
      </c>
      <c r="F12" s="225"/>
      <c r="G12" s="226" t="s">
        <v>70</v>
      </c>
      <c r="H12" s="227">
        <f>T29</f>
        <v>0.9222188215268167</v>
      </c>
      <c r="N12" s="113"/>
      <c r="O12" s="13"/>
      <c r="P12" s="13"/>
    </row>
    <row r="13" spans="2:16" ht="15.75" thickBot="1">
      <c r="B13" s="40" t="s">
        <v>23</v>
      </c>
      <c r="C13" s="43">
        <v>200</v>
      </c>
      <c r="D13" s="215">
        <v>0.357</v>
      </c>
      <c r="E13" s="213">
        <f>Correction!I13</f>
        <v>0.43415180251223573</v>
      </c>
      <c r="F13" s="225"/>
      <c r="G13" s="229" t="s">
        <v>279</v>
      </c>
      <c r="H13" s="227">
        <f>T39</f>
        <v>0.9228086464181604</v>
      </c>
      <c r="N13" s="13"/>
      <c r="P13" s="13"/>
    </row>
    <row r="14" spans="2:5" ht="15">
      <c r="B14" s="39" t="s">
        <v>24</v>
      </c>
      <c r="C14" s="41">
        <v>350</v>
      </c>
      <c r="D14" s="212">
        <v>0.358</v>
      </c>
      <c r="E14" s="209">
        <f>Correction!C16</f>
        <v>0.4379599287353065</v>
      </c>
    </row>
    <row r="15" spans="2:18" ht="15.75" thickBot="1">
      <c r="B15" s="39" t="s">
        <v>25</v>
      </c>
      <c r="C15" s="42">
        <v>350</v>
      </c>
      <c r="D15" s="212">
        <v>0.331</v>
      </c>
      <c r="E15" s="211">
        <f>Correction!G16</f>
        <v>0.40939146335908894</v>
      </c>
      <c r="G15" t="str">
        <f>"ANOVA calculated from lot "&amp;E5&amp;" data"</f>
        <v>ANOVA calculated from lot Uncorrected Lot 19 data</v>
      </c>
      <c r="J15" t="s">
        <v>56</v>
      </c>
      <c r="O15" t="str">
        <f>G15</f>
        <v>ANOVA calculated from lot Uncorrected Lot 19 data</v>
      </c>
      <c r="Q15" s="30"/>
      <c r="R15" t="s">
        <v>64</v>
      </c>
    </row>
    <row r="16" spans="2:21" ht="15">
      <c r="B16" s="39" t="s">
        <v>26</v>
      </c>
      <c r="C16" s="42">
        <v>350</v>
      </c>
      <c r="D16" s="212">
        <v>0.307</v>
      </c>
      <c r="E16" s="211">
        <f>Correction!E16</f>
        <v>0.3619483489008635</v>
      </c>
      <c r="G16" s="109" t="s">
        <v>36</v>
      </c>
      <c r="H16" s="110" t="s">
        <v>28</v>
      </c>
      <c r="I16" s="110" t="s">
        <v>29</v>
      </c>
      <c r="J16" s="110" t="s">
        <v>30</v>
      </c>
      <c r="K16" s="110" t="s">
        <v>31</v>
      </c>
      <c r="L16" s="110" t="s">
        <v>32</v>
      </c>
      <c r="M16" s="110" t="s">
        <v>33</v>
      </c>
      <c r="O16" s="109" t="s">
        <v>36</v>
      </c>
      <c r="P16" s="110" t="s">
        <v>28</v>
      </c>
      <c r="Q16" s="110" t="s">
        <v>29</v>
      </c>
      <c r="R16" s="110" t="s">
        <v>30</v>
      </c>
      <c r="S16" s="110" t="s">
        <v>31</v>
      </c>
      <c r="T16" s="110" t="s">
        <v>32</v>
      </c>
      <c r="U16" s="110" t="s">
        <v>33</v>
      </c>
    </row>
    <row r="17" spans="2:21" ht="15.75" thickBot="1">
      <c r="B17" s="40" t="s">
        <v>27</v>
      </c>
      <c r="C17" s="43">
        <v>350</v>
      </c>
      <c r="D17" s="215">
        <v>0.296</v>
      </c>
      <c r="E17" s="213">
        <f>Correction!I16</f>
        <v>0.3494013239318757</v>
      </c>
      <c r="G17" s="13" t="s">
        <v>37</v>
      </c>
      <c r="H17" s="13">
        <f>SUMSQ(SUM(D6:E9),SUM(D10:E13),SUM(D14:E17))/COUNT(D6:E9)-SUM(D6:E17)^2/COUNT(D6:E17)</f>
        <v>0.1549051609221701</v>
      </c>
      <c r="I17" s="54">
        <v>2</v>
      </c>
      <c r="J17" s="13">
        <f>H17/I17</f>
        <v>0.07745258046108505</v>
      </c>
      <c r="K17" s="13">
        <f>J17/$J$20</f>
        <v>60.134703430715184</v>
      </c>
      <c r="L17" s="13">
        <f>FDIST(K17,I17,$I$20)</f>
        <v>1.0737857775495822E-08</v>
      </c>
      <c r="M17" s="13">
        <f>FINV(0.1,I17,$I$20)</f>
        <v>2.6239469851820454</v>
      </c>
      <c r="O17" s="13" t="s">
        <v>37</v>
      </c>
      <c r="P17" s="34">
        <f>SUMSQ(SUM(D6:E9),SUM(D10:E13),SUM(D14:E17),SUM(D18:E21),SUM(D22:E25))/COUNT(D6:E9)-SUM(D6:E25)^2/COUNT(D6:E25)</f>
        <v>0.375512525828114</v>
      </c>
      <c r="Q17" s="33">
        <v>4</v>
      </c>
      <c r="R17" s="13">
        <f>P17/Q17</f>
        <v>0.0938781314570285</v>
      </c>
      <c r="S17" s="13">
        <f>R17/$R$20</f>
        <v>81.15421592937882</v>
      </c>
      <c r="T17" s="13">
        <f>FDIST(S17,Q17,$Q$20)</f>
        <v>1.1985634066332449E-15</v>
      </c>
      <c r="U17" s="13">
        <f>FINV(0.1,Q17,$Q$20)</f>
        <v>2.1422348563562545</v>
      </c>
    </row>
    <row r="18" spans="2:21" ht="15.75" thickBot="1">
      <c r="B18" s="39" t="s">
        <v>45</v>
      </c>
      <c r="C18" s="41">
        <v>500</v>
      </c>
      <c r="D18" s="216">
        <v>0.3</v>
      </c>
      <c r="E18" s="217">
        <f>Correction!C19</f>
        <v>0.39232728903120256</v>
      </c>
      <c r="G18" s="13" t="s">
        <v>38</v>
      </c>
      <c r="H18" s="13">
        <f>SUMSQ(SUM(D6:D17),SUM(E6:E17))/COUNT(D6:D17)-SUM(D6:E17)^2/COUNT(D6:E17)</f>
        <v>0.046038633230079284</v>
      </c>
      <c r="I18" s="54">
        <v>1</v>
      </c>
      <c r="J18" s="13">
        <f>H18/I18</f>
        <v>0.046038633230079284</v>
      </c>
      <c r="K18" s="13">
        <f>J18/$J$20</f>
        <v>35.744703909991614</v>
      </c>
      <c r="L18" s="13">
        <f>FDIST(K18,I18,$I$20)</f>
        <v>1.1773129763122237E-05</v>
      </c>
      <c r="M18" s="13">
        <f>FINV(0.1,I18,$I$20)</f>
        <v>3.006976542172959</v>
      </c>
      <c r="O18" s="13" t="s">
        <v>38</v>
      </c>
      <c r="P18" s="34">
        <f>SUMSQ(SUM(D6:D25),SUM(E6:E25))/COUNT(D6:D25)-SUM(D6:E25)^2/COUNT(D6:E25)</f>
        <v>0.06416906286925794</v>
      </c>
      <c r="Q18" s="33">
        <v>1</v>
      </c>
      <c r="R18" s="13">
        <f>P18/Q18</f>
        <v>0.06416906286925794</v>
      </c>
      <c r="S18" s="13">
        <f>R18/$R$20</f>
        <v>55.47181120090094</v>
      </c>
      <c r="T18" s="13">
        <f>FDIST(S18,Q18,$Q$20)</f>
        <v>2.667108765369421E-08</v>
      </c>
      <c r="U18" s="13">
        <f>FINV(0.1,Q18,$Q$20)</f>
        <v>2.8806943965820757</v>
      </c>
    </row>
    <row r="19" spans="2:21" ht="15.75" thickBot="1">
      <c r="B19" s="39" t="s">
        <v>46</v>
      </c>
      <c r="C19" s="42">
        <v>500</v>
      </c>
      <c r="D19" s="218">
        <v>0.287</v>
      </c>
      <c r="E19" s="219">
        <f>Correction!G19</f>
        <v>0.362390203394072</v>
      </c>
      <c r="G19" s="13" t="s">
        <v>34</v>
      </c>
      <c r="H19" s="13">
        <f>SUMSQ(SUM(D6:D9),SUM(E6:E9),SUM(D10:D13),SUM(E10:E13),SUM(D14:D17),SUM(E14:E17))/COUNT(D6:D9)-SUM(D6:E17)^2/COUNT(D6:E17)-H17-H18</f>
        <v>0.002113218439861342</v>
      </c>
      <c r="I19" s="54">
        <v>2</v>
      </c>
      <c r="J19" s="13">
        <f>H19/I19</f>
        <v>0.001056609219930671</v>
      </c>
      <c r="K19" s="13">
        <f>J19/$J$20</f>
        <v>0.8203584916659351</v>
      </c>
      <c r="L19" s="170">
        <f>FDIST(K19,I19,$I$20)</f>
        <v>0.45607525242176117</v>
      </c>
      <c r="M19" s="13">
        <f>FINV(0.1,I19,$I$20)</f>
        <v>2.6239469851820454</v>
      </c>
      <c r="O19" s="13" t="s">
        <v>34</v>
      </c>
      <c r="P19" s="34">
        <f>SUMSQ(SUM(D6:D9),SUM(E6:E9),SUM(D10:D13),SUM(E10:E13),SUM(D14:D17),SUM(E14:E17),SUM(D18:D21),SUM(E18:E21),SUM(D22:D25),SUM(E22:E25))/COUNT(D6:D9)-SUM(D6:E25)^2/COUNT(D6:E25)-P17-P18</f>
        <v>0.0031179485769339266</v>
      </c>
      <c r="Q19" s="33">
        <v>4</v>
      </c>
      <c r="R19" s="13">
        <f>P19/Q19</f>
        <v>0.0007794871442334816</v>
      </c>
      <c r="S19" s="13">
        <f>R19/$R$20</f>
        <v>0.6738381669457776</v>
      </c>
      <c r="T19" s="170">
        <f>FDIST(S19,Q19,$Q$20)</f>
        <v>0.6153356782743967</v>
      </c>
      <c r="U19" s="13">
        <f>FINV(0.1,Q19,$Q$20)</f>
        <v>2.1422348563562545</v>
      </c>
    </row>
    <row r="20" spans="2:21" ht="15">
      <c r="B20" s="39" t="s">
        <v>47</v>
      </c>
      <c r="C20" s="42">
        <v>500</v>
      </c>
      <c r="D20" s="218">
        <v>0.255</v>
      </c>
      <c r="E20" s="219">
        <f>Correction!E19</f>
        <v>0.3267987420639786</v>
      </c>
      <c r="G20" s="13" t="s">
        <v>39</v>
      </c>
      <c r="H20" s="13">
        <f>H22-H17-H18-H19</f>
        <v>0.023183725349303685</v>
      </c>
      <c r="I20" s="54">
        <v>18</v>
      </c>
      <c r="J20" s="13">
        <f>H20/I20</f>
        <v>0.0012879847416279826</v>
      </c>
      <c r="K20" s="13"/>
      <c r="L20" s="13"/>
      <c r="M20" s="13"/>
      <c r="O20" s="13" t="s">
        <v>39</v>
      </c>
      <c r="P20" s="34">
        <f>P22-P17-P18-P19</f>
        <v>0.03470360610915968</v>
      </c>
      <c r="Q20" s="33">
        <v>30</v>
      </c>
      <c r="R20" s="13">
        <f>P20/Q20</f>
        <v>0.0011567868703053227</v>
      </c>
      <c r="S20" s="13"/>
      <c r="T20" s="13"/>
      <c r="U20" s="13"/>
    </row>
    <row r="21" spans="2:17" ht="15.75" thickBot="1">
      <c r="B21" s="40" t="s">
        <v>48</v>
      </c>
      <c r="C21" s="43">
        <v>500</v>
      </c>
      <c r="D21" s="220">
        <v>0.242</v>
      </c>
      <c r="E21" s="221">
        <f>Correction!I19</f>
        <v>0.30350253428792673</v>
      </c>
      <c r="I21" s="30"/>
      <c r="Q21" s="30"/>
    </row>
    <row r="22" spans="2:21" ht="15.75" thickBot="1">
      <c r="B22" s="39" t="s">
        <v>49</v>
      </c>
      <c r="C22" s="41">
        <v>650</v>
      </c>
      <c r="D22" s="222">
        <v>0.28</v>
      </c>
      <c r="E22" s="209">
        <f>Correction!C22</f>
        <v>0.3581377078126833</v>
      </c>
      <c r="G22" s="14" t="s">
        <v>35</v>
      </c>
      <c r="H22" s="35">
        <f>SUMSQ(D6:E17)-SUM(D6:E17)^2/COUNT(D6:E17)</f>
        <v>0.22624073794141442</v>
      </c>
      <c r="I22" s="55">
        <v>23</v>
      </c>
      <c r="J22" s="14"/>
      <c r="K22" s="14"/>
      <c r="L22" s="14"/>
      <c r="M22" s="14"/>
      <c r="O22" s="14" t="s">
        <v>35</v>
      </c>
      <c r="P22" s="14">
        <f>SUMSQ(D6:E25)-SUM(D6:E25)^2/COUNT(D6:E25)</f>
        <v>0.47750314338346556</v>
      </c>
      <c r="Q22" s="55">
        <v>39</v>
      </c>
      <c r="R22" s="14"/>
      <c r="S22" s="14"/>
      <c r="T22" s="14"/>
      <c r="U22" s="14"/>
    </row>
    <row r="23" spans="2:17" ht="15">
      <c r="B23" s="39" t="s">
        <v>50</v>
      </c>
      <c r="C23" s="42">
        <v>650</v>
      </c>
      <c r="D23" s="169">
        <v>0.264</v>
      </c>
      <c r="E23" s="211">
        <f>Correction!G22</f>
        <v>0.3243396965556688</v>
      </c>
      <c r="I23" s="30"/>
      <c r="Q23" s="30"/>
    </row>
    <row r="24" spans="2:17" ht="15">
      <c r="B24" s="39" t="s">
        <v>51</v>
      </c>
      <c r="C24" s="42">
        <v>650</v>
      </c>
      <c r="D24" s="169">
        <v>0.241</v>
      </c>
      <c r="E24" s="211">
        <f>Correction!E22</f>
        <v>0.2997101046151278</v>
      </c>
      <c r="I24" s="30"/>
      <c r="Q24" s="30"/>
    </row>
    <row r="25" spans="2:18" ht="15.75" thickBot="1">
      <c r="B25" s="40" t="s">
        <v>52</v>
      </c>
      <c r="C25" s="43">
        <v>650</v>
      </c>
      <c r="D25" s="223">
        <v>0.23</v>
      </c>
      <c r="E25" s="213">
        <f>Correction!I22</f>
        <v>0.2827504414239564</v>
      </c>
      <c r="G25" t="str">
        <f>G15</f>
        <v>ANOVA calculated from lot Uncorrected Lot 19 data</v>
      </c>
      <c r="I25" s="30"/>
      <c r="J25" t="s">
        <v>58</v>
      </c>
      <c r="K25" s="2"/>
      <c r="L25" s="2"/>
      <c r="M25" s="2"/>
      <c r="O25" t="str">
        <f>G15</f>
        <v>ANOVA calculated from lot Uncorrected Lot 19 data</v>
      </c>
      <c r="Q25" s="30"/>
      <c r="R25" s="13" t="s">
        <v>65</v>
      </c>
    </row>
    <row r="26" spans="7:21" ht="12.75">
      <c r="G26" s="109" t="s">
        <v>36</v>
      </c>
      <c r="H26" s="110" t="s">
        <v>28</v>
      </c>
      <c r="I26" s="110" t="s">
        <v>29</v>
      </c>
      <c r="J26" s="110" t="s">
        <v>30</v>
      </c>
      <c r="K26" s="110" t="s">
        <v>31</v>
      </c>
      <c r="L26" s="110" t="s">
        <v>32</v>
      </c>
      <c r="M26" s="110" t="s">
        <v>33</v>
      </c>
      <c r="O26" s="110" t="s">
        <v>36</v>
      </c>
      <c r="P26" s="110" t="s">
        <v>28</v>
      </c>
      <c r="Q26" s="110" t="s">
        <v>29</v>
      </c>
      <c r="R26" s="110" t="s">
        <v>30</v>
      </c>
      <c r="S26" s="110" t="s">
        <v>31</v>
      </c>
      <c r="T26" s="110" t="s">
        <v>32</v>
      </c>
      <c r="U26" s="110" t="s">
        <v>33</v>
      </c>
    </row>
    <row r="27" spans="7:21" ht="13.5" thickBot="1">
      <c r="G27" s="159" t="s">
        <v>37</v>
      </c>
      <c r="H27" s="66">
        <f>SUMSQ(SUM(D6:E9),SUM(D10:E13),SUM(D14:E17),SUM(D18:E21))/COUNT(D6:E9)-SUM(D6:E21)^2/COUNT(D6:E21)</f>
        <v>0.2708380322507411</v>
      </c>
      <c r="I27" s="160">
        <v>3</v>
      </c>
      <c r="J27" s="13">
        <f>H27/I27</f>
        <v>0.09027934408358036</v>
      </c>
      <c r="K27" s="13">
        <f>J27/$J$30</f>
        <v>72.30289939594807</v>
      </c>
      <c r="L27" s="13">
        <f>FDIST(K27,I27,$I$30)</f>
        <v>3.6694949849433705E-12</v>
      </c>
      <c r="M27" s="13">
        <f>FINV(0.1,I27,$I$30)</f>
        <v>2.3273897125927725</v>
      </c>
      <c r="O27" s="13" t="s">
        <v>61</v>
      </c>
      <c r="P27" s="13">
        <f>SUMSQ(SUM(D10:E13),SUM(D14:E17),SUM(D18:E21),SUM(D22:E25))/COUNT(D10:E13)-SUM(D10:E25)^2/COUNT(D10:E25)</f>
        <v>0.10475427924989811</v>
      </c>
      <c r="Q27" s="29">
        <v>3</v>
      </c>
      <c r="R27" s="13">
        <f>P27/Q27</f>
        <v>0.03491809308329937</v>
      </c>
      <c r="S27" s="13">
        <f>R27/$R$30</f>
        <v>30.867511775889216</v>
      </c>
      <c r="T27" s="13">
        <f>FDIST(S27,Q27,$Q$30)</f>
        <v>2.096608146683376E-08</v>
      </c>
      <c r="U27" s="13">
        <f>FINV(0.1,Q27,$Q$30)</f>
        <v>2.3273897125927725</v>
      </c>
    </row>
    <row r="28" spans="3:21" ht="13.5" thickBot="1">
      <c r="C28" s="45" t="s">
        <v>53</v>
      </c>
      <c r="D28" s="51">
        <f>SLOPE(D6:D25,E6:E25)</f>
        <v>0.8250896702494073</v>
      </c>
      <c r="G28" s="159" t="s">
        <v>38</v>
      </c>
      <c r="H28" s="66">
        <f>SUMSQ(SUM(D6:D21),SUM(E6:E21))/COUNT(D6:D21)-SUM(D6:E21)^2/COUNT(D6:E21)</f>
        <v>0.057136699017510395</v>
      </c>
      <c r="I28" s="160">
        <v>1</v>
      </c>
      <c r="J28" s="13">
        <f>H28/I28</f>
        <v>0.057136699017510395</v>
      </c>
      <c r="K28" s="13">
        <f>J28/$J$30</f>
        <v>45.759625779458624</v>
      </c>
      <c r="L28" s="13">
        <f>FDIST(K28,I28,$I$30)</f>
        <v>5.367478305822541E-07</v>
      </c>
      <c r="M28" s="13">
        <f>FINV(0.1,I28,$I$30)</f>
        <v>2.927117446270193</v>
      </c>
      <c r="O28" s="13" t="s">
        <v>62</v>
      </c>
      <c r="P28" s="13">
        <f>SUMSQ(SUM(D10:D25),SUM(E10:E25))/COUNT(D10:D25)-SUM(D10:E25)^2/COUNT(D10:E25)</f>
        <v>0.04156643511859137</v>
      </c>
      <c r="Q28" s="29">
        <v>1</v>
      </c>
      <c r="R28" s="13">
        <f>P28/Q28</f>
        <v>0.04156643511859137</v>
      </c>
      <c r="S28" s="13">
        <f>R28/$R$30</f>
        <v>36.74463042538003</v>
      </c>
      <c r="T28" s="13">
        <f>FDIST(S28,Q28,$Q$30)</f>
        <v>2.927974674364707E-06</v>
      </c>
      <c r="U28" s="13">
        <f>FINV(0.1,Q28,$Q$30)</f>
        <v>2.927117446270193</v>
      </c>
    </row>
    <row r="29" spans="3:21" ht="13.5" thickBot="1">
      <c r="C29" s="46" t="s">
        <v>54</v>
      </c>
      <c r="D29" s="52">
        <f>INTERCEPT(D6:D25,E6:E25)</f>
        <v>-0.005356686631390495</v>
      </c>
      <c r="G29" s="159" t="s">
        <v>34</v>
      </c>
      <c r="H29" s="158">
        <f>SUMSQ(SUM(D6:D9),SUM(E6:E9),SUM(D10:D13),SUM(E10:E13),SUM(D14:D17),SUM(E14:E17),SUM(D18:D21),SUM(E18:E21))/COUNT(D6:D9)-SUM(D6:E21)^2/COUNT(D6:E21)-H28-H27</f>
        <v>0.0023416900469470647</v>
      </c>
      <c r="I29" s="161">
        <v>3</v>
      </c>
      <c r="J29" s="13">
        <f>H29/I29</f>
        <v>0.0007805633489823549</v>
      </c>
      <c r="K29" s="13">
        <f>J29/$J$30</f>
        <v>0.6251373873672178</v>
      </c>
      <c r="L29" s="170">
        <f>FDIST(K29,I29,$I$30)</f>
        <v>0.6057328419011347</v>
      </c>
      <c r="M29" s="13">
        <f>FINV(0.1,I29,$I$30)</f>
        <v>2.3273897125927725</v>
      </c>
      <c r="O29" s="13" t="s">
        <v>34</v>
      </c>
      <c r="P29" s="13">
        <f>SUMSQ(SUM(D10:D13),SUM(E10:E13),SUM(D14:D17),SUM(E14:E17),SUM(D18:D21),SUM(E18:E21),SUM(D22:D25),SUM(E22:E25))/COUNT(D10:D13)-SUM(D10:E25)^2/COUNT(D10:E25)-P27-P28</f>
        <v>0.0005427797489390151</v>
      </c>
      <c r="Q29" s="112">
        <v>3</v>
      </c>
      <c r="R29" s="13">
        <f>P29/Q29</f>
        <v>0.0001809265829796717</v>
      </c>
      <c r="S29" s="13">
        <f>R29/$R$30</f>
        <v>0.1599386718333565</v>
      </c>
      <c r="T29" s="170">
        <f>FDIST(S29,Q29,$Q$30)</f>
        <v>0.9222188215268167</v>
      </c>
      <c r="U29" s="13">
        <f>FINV(0.1,Q29,$Q$30)</f>
        <v>2.3273897125927725</v>
      </c>
    </row>
    <row r="30" spans="3:21" ht="12.75">
      <c r="C30" s="47" t="s">
        <v>55</v>
      </c>
      <c r="D30" s="50">
        <f>STEYX(D6:D25,E6:E25)</f>
        <v>0.010138073195178673</v>
      </c>
      <c r="G30" s="159" t="s">
        <v>39</v>
      </c>
      <c r="H30" s="159">
        <f>H32-H27-H28-H29</f>
        <v>0.029967045251401814</v>
      </c>
      <c r="I30" s="161">
        <v>24</v>
      </c>
      <c r="J30" s="13">
        <f>H30/I30</f>
        <v>0.0012486268854750755</v>
      </c>
      <c r="K30" s="13"/>
      <c r="L30" s="13"/>
      <c r="M30" s="13"/>
      <c r="O30" s="13" t="s">
        <v>60</v>
      </c>
      <c r="P30" s="13">
        <f>P32-P27-P28-P29</f>
        <v>0.027149393837885505</v>
      </c>
      <c r="Q30" s="54">
        <f>Q32-Q27-Q28-Q29</f>
        <v>24</v>
      </c>
      <c r="R30" s="13">
        <f>P30/Q30</f>
        <v>0.0011312247432452294</v>
      </c>
      <c r="S30" s="13"/>
      <c r="T30" s="13"/>
      <c r="U30" s="13"/>
    </row>
    <row r="31" spans="3:17" ht="13.5" thickBot="1">
      <c r="C31" s="48" t="s">
        <v>63</v>
      </c>
      <c r="D31" s="53">
        <f>RSQ(D6:D25,E6:E25)</f>
        <v>0.9890215038891353</v>
      </c>
      <c r="G31" s="67"/>
      <c r="H31" s="159"/>
      <c r="I31" s="161"/>
      <c r="O31" s="13"/>
      <c r="P31" s="13"/>
      <c r="Q31" s="54"/>
    </row>
    <row r="32" spans="7:21" ht="13.5" thickBot="1">
      <c r="G32" s="162" t="s">
        <v>35</v>
      </c>
      <c r="H32" s="157">
        <f>SUMSQ(D6:E21)-SUM(D6:E21)^2/COUNT(D6:E21)</f>
        <v>0.3602834665666004</v>
      </c>
      <c r="I32" s="163">
        <v>31</v>
      </c>
      <c r="J32" s="14"/>
      <c r="K32" s="14"/>
      <c r="L32" s="14"/>
      <c r="M32" s="14"/>
      <c r="O32" s="14" t="s">
        <v>35</v>
      </c>
      <c r="P32" s="14">
        <f>SUMSQ(D10:E25)-SUM(D10:E25)^2/COUNT(D10:E25)</f>
        <v>0.174012887955314</v>
      </c>
      <c r="Q32" s="56">
        <v>31</v>
      </c>
      <c r="R32" s="14"/>
      <c r="S32" s="14"/>
      <c r="T32" s="14"/>
      <c r="U32" s="14"/>
    </row>
    <row r="33" spans="6:9" ht="12.75">
      <c r="F33" s="111"/>
      <c r="I33" s="30"/>
    </row>
    <row r="34" spans="2:9" ht="12.75">
      <c r="B34" t="s">
        <v>104</v>
      </c>
      <c r="F34" s="13"/>
      <c r="I34" s="30"/>
    </row>
    <row r="35" spans="2:18" ht="13.5" thickBot="1">
      <c r="B35" s="1"/>
      <c r="C35" s="119" t="s">
        <v>81</v>
      </c>
      <c r="D35" s="119" t="str">
        <f>"Lot "&amp;'Correlation Raw Data'!B20</f>
        <v>Lot 19</v>
      </c>
      <c r="F35" s="13"/>
      <c r="G35" t="str">
        <f>"ANOVA calculated from lot "&amp;'Correlation Raw Data'!B20&amp;" data"</f>
        <v>ANOVA calculated from lot 19 data</v>
      </c>
      <c r="J35" s="67" t="s">
        <v>277</v>
      </c>
      <c r="O35" t="str">
        <f>"ANOVA calculated from lot "&amp;'Correlation Raw Data'!B29&amp;" data"</f>
        <v>ANOVA calculated from lot  data</v>
      </c>
      <c r="R35" s="67" t="s">
        <v>278</v>
      </c>
    </row>
    <row r="36" spans="2:21" ht="12.75">
      <c r="B36" s="1">
        <v>100</v>
      </c>
      <c r="C36" s="120">
        <f>AVERAGE(D6:D9)</f>
        <v>0.49575</v>
      </c>
      <c r="D36" s="120">
        <f>AVERAGE(E6:E9)</f>
        <v>0.6079502597560744</v>
      </c>
      <c r="E36" s="13"/>
      <c r="F36" s="13"/>
      <c r="G36" s="109" t="s">
        <v>36</v>
      </c>
      <c r="H36" s="110" t="s">
        <v>28</v>
      </c>
      <c r="I36" s="110" t="s">
        <v>29</v>
      </c>
      <c r="J36" s="110" t="s">
        <v>30</v>
      </c>
      <c r="K36" s="110" t="s">
        <v>31</v>
      </c>
      <c r="L36" s="110" t="s">
        <v>32</v>
      </c>
      <c r="M36" s="110" t="s">
        <v>33</v>
      </c>
      <c r="O36" s="109" t="s">
        <v>36</v>
      </c>
      <c r="P36" s="110" t="s">
        <v>28</v>
      </c>
      <c r="Q36" s="110" t="s">
        <v>29</v>
      </c>
      <c r="R36" s="110" t="s">
        <v>30</v>
      </c>
      <c r="S36" s="110" t="s">
        <v>31</v>
      </c>
      <c r="T36" s="110" t="s">
        <v>32</v>
      </c>
      <c r="U36" s="110" t="s">
        <v>33</v>
      </c>
    </row>
    <row r="37" spans="2:21" ht="12.75">
      <c r="B37" s="1">
        <v>200</v>
      </c>
      <c r="C37" s="120">
        <f>AVERAGE(D10:D13)</f>
        <v>0.39275</v>
      </c>
      <c r="D37" s="120">
        <f>AVERAGE(E10:E13)</f>
        <v>0.476663267238029</v>
      </c>
      <c r="E37" s="13"/>
      <c r="F37" s="13"/>
      <c r="G37" s="13" t="s">
        <v>37</v>
      </c>
      <c r="H37" s="13">
        <f>SUMSQ(SUM(D10:E13),SUM(D14:E17),SUM(D18:E21))/COUNT(D10:E13)-SUM(D10:E21)^2/COUNT(D10:E21)</f>
        <v>0.06483722258477576</v>
      </c>
      <c r="I37" s="54">
        <v>2</v>
      </c>
      <c r="J37" s="13">
        <f>H37/I37</f>
        <v>0.03241861129238788</v>
      </c>
      <c r="K37" s="13">
        <f>J37/$J$40</f>
        <v>26.035753881732045</v>
      </c>
      <c r="L37" s="13">
        <f>FDIST(K37,I37,$I$40)</f>
        <v>4.87056544456317E-06</v>
      </c>
      <c r="M37" s="13">
        <f>FINV(0.1,I37,$I$40)</f>
        <v>2.6239469851820454</v>
      </c>
      <c r="O37" s="13" t="s">
        <v>37</v>
      </c>
      <c r="P37" s="13">
        <f>SUMSQ(SUM(D14:E17),SUM(D18:E21),SUM(D22:E25))/COUNT(D14:E17)-SUM(D14:E25)^2/COUNT(D14:E25)</f>
        <v>0.021133477665246758</v>
      </c>
      <c r="Q37" s="54">
        <v>2</v>
      </c>
      <c r="R37" s="13">
        <f>P37/Q37</f>
        <v>0.010566738832623379</v>
      </c>
      <c r="S37" s="13">
        <f>R37/$R$40</f>
        <v>10.061010835021586</v>
      </c>
      <c r="T37" s="13">
        <f>FDIST(S37,Q37,$Q$40)</f>
        <v>0.0011664583355702825</v>
      </c>
      <c r="U37" s="13">
        <f>FINV(0.1,Q37,$Q$40)</f>
        <v>2.6239469851820454</v>
      </c>
    </row>
    <row r="38" spans="2:21" ht="13.5" thickBot="1">
      <c r="B38" s="1">
        <v>350</v>
      </c>
      <c r="C38" s="120">
        <f>AVERAGE(D14:D17)</f>
        <v>0.323</v>
      </c>
      <c r="D38" s="120">
        <f>AVERAGE(E14:E17)</f>
        <v>0.3896752662317836</v>
      </c>
      <c r="E38" s="13"/>
      <c r="F38" s="13"/>
      <c r="G38" s="13" t="s">
        <v>38</v>
      </c>
      <c r="H38" s="13">
        <f>SUMSQ(SUM(D10:D21),SUM(E10:E21))/COUNT(D10:D21)-SUM(D10:E21)^2/COUNT(D10:E21)</f>
        <v>0.03400344171891234</v>
      </c>
      <c r="I38" s="54">
        <v>1</v>
      </c>
      <c r="J38" s="13">
        <f>H38/I38</f>
        <v>0.03400344171891234</v>
      </c>
      <c r="K38" s="13">
        <f>J38/$J$40</f>
        <v>27.308549146067136</v>
      </c>
      <c r="L38" s="13">
        <f>FDIST(K38,I38,$I$40)</f>
        <v>5.710390036900862E-05</v>
      </c>
      <c r="M38" s="13">
        <f>FINV(0.1,I38,$I$40)</f>
        <v>3.006976542172959</v>
      </c>
      <c r="O38" s="13" t="s">
        <v>38</v>
      </c>
      <c r="P38" s="13">
        <f>SUMSQ(SUM(D14:D25),SUM(E14:E25))/COUNT(D14:D25)-SUM(D14:E25)^2/COUNT(D14:E25)</f>
        <v>0.02785684382993958</v>
      </c>
      <c r="Q38" s="54">
        <v>1</v>
      </c>
      <c r="R38" s="13">
        <f>P38/Q38</f>
        <v>0.02785684382993958</v>
      </c>
      <c r="S38" s="13">
        <f>R38/$R$40</f>
        <v>26.523605063204243</v>
      </c>
      <c r="T38" s="13">
        <f>FDIST(S38,Q38,$Q$40)</f>
        <v>6.716478100091896E-05</v>
      </c>
      <c r="U38" s="13">
        <f>FINV(0.1,Q38,$Q$40)</f>
        <v>3.006976542172959</v>
      </c>
    </row>
    <row r="39" spans="2:21" ht="13.5" thickBot="1">
      <c r="B39" s="1">
        <v>500</v>
      </c>
      <c r="C39" s="120">
        <f>AVERAGE(D18:D21)</f>
        <v>0.271</v>
      </c>
      <c r="D39" s="120">
        <f>AVERAGE(E18:E21)</f>
        <v>0.346254692194295</v>
      </c>
      <c r="E39" s="111"/>
      <c r="F39" s="111"/>
      <c r="G39" s="13" t="s">
        <v>34</v>
      </c>
      <c r="H39" s="13">
        <f>SUMSQ(SUM(D10:D13),SUM(E10:E13),SUM(D14:D17),SUM(E14:E17),SUM(D18:D21),SUM(E18:E21))/COUNT(D10:D13)-SUM(D10:E21)^2/COUNT(D10:E21)-H37-H38</f>
        <v>0.00029715076688452413</v>
      </c>
      <c r="I39" s="54">
        <v>2</v>
      </c>
      <c r="J39" s="13">
        <f>H39/I39</f>
        <v>0.00014857538344226207</v>
      </c>
      <c r="K39" s="13">
        <f>J39/$J$40</f>
        <v>0.11932257311388905</v>
      </c>
      <c r="L39" s="170">
        <f>FDIST(K39,I39,$I$40)</f>
        <v>0.8882176163517643</v>
      </c>
      <c r="M39" s="13">
        <f>FINV(0.1,I39,$I$40)</f>
        <v>2.6239469851820454</v>
      </c>
      <c r="O39" s="13" t="s">
        <v>34</v>
      </c>
      <c r="P39" s="13">
        <f>SUMSQ(SUM(D14:D17),SUM(E14:E17),SUM(D18:D21),SUM(E18:E21),SUM(D22:D25),SUM(E22:E25))/COUNT(D14:D17)-SUM(D14:E25)^2/COUNT(D14:E25)-P37-P38</f>
        <v>0.0001694982004689649</v>
      </c>
      <c r="Q39" s="54">
        <v>2</v>
      </c>
      <c r="R39" s="13">
        <f>P39/Q39</f>
        <v>8.474910023448246E-05</v>
      </c>
      <c r="S39" s="13">
        <f>R39/$R$40</f>
        <v>0.0806929772017248</v>
      </c>
      <c r="T39" s="170">
        <f>FDIST(S39,Q39,$Q$40)</f>
        <v>0.9228086464181604</v>
      </c>
      <c r="U39" s="13">
        <f>FINV(0.1,Q39,$Q$40)</f>
        <v>2.6239469851820454</v>
      </c>
    </row>
    <row r="40" spans="2:21" ht="12.75">
      <c r="B40" s="1">
        <v>650</v>
      </c>
      <c r="C40" s="120">
        <f>AVERAGE(D22:D25)</f>
        <v>0.25375000000000003</v>
      </c>
      <c r="D40" s="120">
        <f>AVERAGE(E22:E25)</f>
        <v>0.31623448760185907</v>
      </c>
      <c r="G40" s="13" t="s">
        <v>39</v>
      </c>
      <c r="H40" s="13">
        <f>H42-H37-H38-H39</f>
        <v>0.022412832980128083</v>
      </c>
      <c r="I40" s="54">
        <v>18</v>
      </c>
      <c r="J40" s="13">
        <f>H40/I40</f>
        <v>0.0012451573877848936</v>
      </c>
      <c r="K40" s="13"/>
      <c r="L40" s="13"/>
      <c r="M40" s="13"/>
      <c r="O40" s="13" t="s">
        <v>39</v>
      </c>
      <c r="P40" s="13">
        <f>P42-P37-P38-P39</f>
        <v>0.018904790195150678</v>
      </c>
      <c r="Q40" s="54">
        <v>18</v>
      </c>
      <c r="R40" s="13">
        <f>P40/Q40</f>
        <v>0.0010502661219528155</v>
      </c>
      <c r="S40" s="13"/>
      <c r="T40" s="13"/>
      <c r="U40" s="13"/>
    </row>
    <row r="41" spans="4:17" ht="12.75">
      <c r="D41" s="13"/>
      <c r="I41" s="30"/>
      <c r="Q41" s="30"/>
    </row>
    <row r="42" spans="4:21" ht="13.5" thickBot="1">
      <c r="D42" s="299"/>
      <c r="G42" s="14" t="s">
        <v>35</v>
      </c>
      <c r="H42" s="35">
        <f>SUMSQ(D10:E21)-SUM(D10:E21)^2/COUNT(D10:E21)</f>
        <v>0.1215506480507007</v>
      </c>
      <c r="I42" s="55">
        <v>23</v>
      </c>
      <c r="J42" s="14"/>
      <c r="K42" s="14"/>
      <c r="L42" s="14"/>
      <c r="M42" s="14"/>
      <c r="O42" s="14" t="s">
        <v>35</v>
      </c>
      <c r="P42" s="35">
        <f>SUMSQ(D14:E25)-SUM(D14:E25)^2/COUNT(D14:E25)</f>
        <v>0.06806460989080598</v>
      </c>
      <c r="Q42" s="55">
        <v>23</v>
      </c>
      <c r="R42" s="14"/>
      <c r="S42" s="14"/>
      <c r="T42" s="14"/>
      <c r="U42" s="14"/>
    </row>
    <row r="43" ht="12.75">
      <c r="D43" s="299">
        <v>0.067</v>
      </c>
    </row>
    <row r="44" spans="6:22" ht="12.75">
      <c r="F44" s="2"/>
      <c r="G44" s="2"/>
      <c r="H44" s="2"/>
      <c r="I44" s="2"/>
      <c r="J44" s="66"/>
      <c r="K44" s="2"/>
      <c r="L44" s="2"/>
      <c r="M44" s="2"/>
      <c r="N44" s="2"/>
      <c r="O44" s="2"/>
      <c r="P44" s="2"/>
      <c r="Q44" s="2"/>
      <c r="R44" s="66"/>
      <c r="S44" s="2"/>
      <c r="T44" s="2"/>
      <c r="U44" s="2"/>
      <c r="V44" s="2"/>
    </row>
    <row r="45" spans="6:22" ht="12.75">
      <c r="F45" s="2"/>
      <c r="G45" s="188"/>
      <c r="H45" s="189"/>
      <c r="I45" s="189"/>
      <c r="J45" s="189"/>
      <c r="K45" s="189"/>
      <c r="L45" s="189"/>
      <c r="M45" s="189"/>
      <c r="N45" s="2"/>
      <c r="O45" s="188"/>
      <c r="P45" s="189"/>
      <c r="Q45" s="189"/>
      <c r="R45" s="189"/>
      <c r="S45" s="189"/>
      <c r="T45" s="189"/>
      <c r="U45" s="189"/>
      <c r="V45" s="2"/>
    </row>
    <row r="46" spans="6:22" ht="12.75">
      <c r="F46" s="2"/>
      <c r="G46" s="13"/>
      <c r="H46" s="13"/>
      <c r="I46" s="54"/>
      <c r="J46" s="13"/>
      <c r="K46" s="13"/>
      <c r="L46" s="13"/>
      <c r="M46" s="13"/>
      <c r="N46" s="2"/>
      <c r="O46" s="13"/>
      <c r="P46" s="13"/>
      <c r="Q46" s="54"/>
      <c r="R46" s="13"/>
      <c r="S46" s="13"/>
      <c r="T46" s="13"/>
      <c r="U46" s="13"/>
      <c r="V46" s="2"/>
    </row>
    <row r="47" spans="6:22" ht="12.75">
      <c r="F47" s="2"/>
      <c r="G47" s="13"/>
      <c r="H47" s="13"/>
      <c r="I47" s="54"/>
      <c r="J47" s="13"/>
      <c r="K47" s="13"/>
      <c r="L47" s="13"/>
      <c r="M47" s="13"/>
      <c r="N47" s="2"/>
      <c r="O47" s="13"/>
      <c r="P47" s="13"/>
      <c r="Q47" s="54"/>
      <c r="R47" s="13"/>
      <c r="S47" s="13"/>
      <c r="T47" s="13"/>
      <c r="U47" s="13"/>
      <c r="V47" s="2"/>
    </row>
    <row r="48" spans="6:22" ht="12.75">
      <c r="F48" s="2"/>
      <c r="G48" s="13"/>
      <c r="H48" s="13"/>
      <c r="I48" s="54"/>
      <c r="J48" s="13"/>
      <c r="K48" s="13"/>
      <c r="L48" s="13"/>
      <c r="M48" s="13"/>
      <c r="N48" s="2"/>
      <c r="O48" s="13"/>
      <c r="P48" s="13"/>
      <c r="Q48" s="54"/>
      <c r="R48" s="13"/>
      <c r="S48" s="13"/>
      <c r="T48" s="13"/>
      <c r="U48" s="13"/>
      <c r="V48" s="2"/>
    </row>
    <row r="49" spans="6:22" ht="12.75">
      <c r="F49" s="2"/>
      <c r="G49" s="13"/>
      <c r="H49" s="13"/>
      <c r="I49" s="54"/>
      <c r="J49" s="13"/>
      <c r="K49" s="13"/>
      <c r="L49" s="13"/>
      <c r="M49" s="13"/>
      <c r="N49" s="2"/>
      <c r="O49" s="13"/>
      <c r="P49" s="13"/>
      <c r="Q49" s="54"/>
      <c r="R49" s="13"/>
      <c r="S49" s="13"/>
      <c r="T49" s="13"/>
      <c r="U49" s="13"/>
      <c r="V49" s="2"/>
    </row>
    <row r="50" spans="6:22" ht="12.75">
      <c r="F50" s="2"/>
      <c r="G50" s="2"/>
      <c r="H50" s="2"/>
      <c r="I50" s="29"/>
      <c r="J50" s="2"/>
      <c r="K50" s="2"/>
      <c r="L50" s="2"/>
      <c r="M50" s="2"/>
      <c r="N50" s="2"/>
      <c r="O50" s="2"/>
      <c r="P50" s="2"/>
      <c r="Q50" s="29"/>
      <c r="R50" s="2"/>
      <c r="S50" s="2"/>
      <c r="T50" s="2"/>
      <c r="U50" s="2"/>
      <c r="V50" s="2"/>
    </row>
    <row r="51" spans="6:22" ht="12.75">
      <c r="F51" s="2"/>
      <c r="G51" s="13"/>
      <c r="H51" s="2"/>
      <c r="I51" s="54"/>
      <c r="J51" s="13"/>
      <c r="K51" s="13"/>
      <c r="L51" s="13"/>
      <c r="M51" s="13"/>
      <c r="N51" s="2"/>
      <c r="O51" s="13"/>
      <c r="P51" s="2"/>
      <c r="Q51" s="54"/>
      <c r="R51" s="13"/>
      <c r="S51" s="13"/>
      <c r="T51" s="13"/>
      <c r="U51" s="13"/>
      <c r="V51" s="2"/>
    </row>
    <row r="52" spans="6:22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121"/>
      <c r="B53" s="121">
        <f>ROUND(D28,4)</f>
        <v>0.8251</v>
      </c>
      <c r="C53" t="str">
        <f>"y="&amp;B53</f>
        <v>y=0.8251</v>
      </c>
      <c r="D53" t="str">
        <f>C53&amp;C54</f>
        <v>y=0.8251x+-0.0054</v>
      </c>
      <c r="F53" s="2"/>
      <c r="G53" s="2"/>
      <c r="H53" s="2"/>
      <c r="I53" s="2"/>
      <c r="J53" s="66"/>
      <c r="K53" s="2"/>
      <c r="L53" s="2"/>
      <c r="M53" s="2"/>
      <c r="N53" s="2"/>
      <c r="O53" s="2"/>
      <c r="P53" s="2"/>
      <c r="Q53" s="2"/>
      <c r="R53" s="66"/>
      <c r="S53" s="2"/>
      <c r="T53" s="2"/>
      <c r="U53" s="2"/>
      <c r="V53" s="2"/>
    </row>
    <row r="54" spans="1:22" ht="12.75">
      <c r="A54" s="121"/>
      <c r="B54" s="121">
        <f>ROUND(D29,4)</f>
        <v>-0.0054</v>
      </c>
      <c r="C54" t="str">
        <f>"x+"&amp;B54</f>
        <v>x+-0.0054</v>
      </c>
      <c r="F54" s="2"/>
      <c r="G54" s="188"/>
      <c r="H54" s="189"/>
      <c r="I54" s="189"/>
      <c r="J54" s="189"/>
      <c r="K54" s="189"/>
      <c r="L54" s="189"/>
      <c r="M54" s="189"/>
      <c r="N54" s="2"/>
      <c r="O54" s="188"/>
      <c r="P54" s="189"/>
      <c r="Q54" s="189"/>
      <c r="R54" s="189"/>
      <c r="S54" s="189"/>
      <c r="T54" s="189"/>
      <c r="U54" s="189"/>
      <c r="V54" s="2"/>
    </row>
    <row r="55" spans="2:22" ht="12.75">
      <c r="B55" t="str">
        <f>"R^2="</f>
        <v>R^2=</v>
      </c>
      <c r="C55" s="122">
        <f>ROUND(D31,4)</f>
        <v>0.989</v>
      </c>
      <c r="D55" t="str">
        <f>B55&amp;C55</f>
        <v>R^2=0.989</v>
      </c>
      <c r="F55" s="2"/>
      <c r="G55" s="13"/>
      <c r="H55" s="13"/>
      <c r="I55" s="54"/>
      <c r="J55" s="13"/>
      <c r="K55" s="13"/>
      <c r="L55" s="13"/>
      <c r="M55" s="13"/>
      <c r="N55" s="2"/>
      <c r="O55" s="13"/>
      <c r="P55" s="13"/>
      <c r="Q55" s="54"/>
      <c r="R55" s="13"/>
      <c r="S55" s="13"/>
      <c r="T55" s="13"/>
      <c r="U55" s="13"/>
      <c r="V55" s="2"/>
    </row>
    <row r="56" spans="6:22" ht="12.75">
      <c r="F56" s="2"/>
      <c r="G56" s="13"/>
      <c r="H56" s="13"/>
      <c r="I56" s="54"/>
      <c r="J56" s="13"/>
      <c r="K56" s="13"/>
      <c r="L56" s="13"/>
      <c r="M56" s="13"/>
      <c r="N56" s="2"/>
      <c r="O56" s="13"/>
      <c r="P56" s="13"/>
      <c r="Q56" s="54"/>
      <c r="R56" s="13"/>
      <c r="S56" s="13"/>
      <c r="T56" s="13"/>
      <c r="U56" s="13"/>
      <c r="V56" s="2"/>
    </row>
    <row r="57" spans="6:22" ht="12.75">
      <c r="F57" s="2"/>
      <c r="G57" s="13"/>
      <c r="H57" s="13"/>
      <c r="I57" s="54"/>
      <c r="J57" s="13"/>
      <c r="K57" s="13"/>
      <c r="L57" s="13"/>
      <c r="M57" s="13"/>
      <c r="N57" s="2"/>
      <c r="O57" s="13"/>
      <c r="P57" s="13"/>
      <c r="Q57" s="54"/>
      <c r="R57" s="13"/>
      <c r="S57" s="13"/>
      <c r="T57" s="13"/>
      <c r="U57" s="13"/>
      <c r="V57" s="2"/>
    </row>
    <row r="58" spans="6:22" ht="12.75">
      <c r="F58" s="2"/>
      <c r="G58" s="13"/>
      <c r="H58" s="13"/>
      <c r="I58" s="54"/>
      <c r="J58" s="13"/>
      <c r="K58" s="13"/>
      <c r="L58" s="13"/>
      <c r="M58" s="13"/>
      <c r="N58" s="2"/>
      <c r="O58" s="13"/>
      <c r="P58" s="13"/>
      <c r="Q58" s="54"/>
      <c r="R58" s="13"/>
      <c r="S58" s="13"/>
      <c r="T58" s="13"/>
      <c r="U58" s="13"/>
      <c r="V58" s="2"/>
    </row>
    <row r="59" spans="6:22" ht="12.75">
      <c r="F59" s="2"/>
      <c r="G59" s="2"/>
      <c r="H59" s="2"/>
      <c r="I59" s="29"/>
      <c r="J59" s="2"/>
      <c r="K59" s="2"/>
      <c r="L59" s="2"/>
      <c r="M59" s="2"/>
      <c r="N59" s="2"/>
      <c r="O59" s="2"/>
      <c r="P59" s="2"/>
      <c r="Q59" s="29"/>
      <c r="R59" s="2"/>
      <c r="S59" s="2"/>
      <c r="T59" s="2"/>
      <c r="U59" s="2"/>
      <c r="V59" s="2"/>
    </row>
    <row r="60" spans="6:22" ht="12.75">
      <c r="F60" s="2"/>
      <c r="G60" s="13"/>
      <c r="H60" s="2"/>
      <c r="I60" s="54"/>
      <c r="J60" s="13"/>
      <c r="K60" s="13"/>
      <c r="L60" s="13"/>
      <c r="M60" s="13"/>
      <c r="N60" s="2"/>
      <c r="O60" s="13"/>
      <c r="P60" s="2"/>
      <c r="Q60" s="54"/>
      <c r="R60" s="13"/>
      <c r="S60" s="13"/>
      <c r="T60" s="13"/>
      <c r="U60" s="13"/>
      <c r="V60" s="2"/>
    </row>
    <row r="61" spans="6:22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6:22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6:22" ht="12.7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6:22" ht="12.7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6:22" ht="12.7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sheetProtection/>
  <mergeCells count="8">
    <mergeCell ref="O7:P7"/>
    <mergeCell ref="O8:P8"/>
    <mergeCell ref="G4:H5"/>
    <mergeCell ref="K5:K6"/>
    <mergeCell ref="L5:L6"/>
    <mergeCell ref="M5:M6"/>
    <mergeCell ref="N5:N6"/>
    <mergeCell ref="O5:P6"/>
  </mergeCells>
  <conditionalFormatting sqref="P13 J2 O10">
    <cfRule type="cellIs" priority="2" dxfId="0" operator="equal" stopIfTrue="1">
      <formula>"""Accept the lot"""</formula>
    </cfRule>
  </conditionalFormatting>
  <printOptions/>
  <pageMargins left="0.7" right="0.7" top="0.75" bottom="0.75" header="0.3" footer="0.3"/>
  <pageSetup orientation="portrait" paperSize="9"/>
  <ignoredErrors>
    <ignoredError sqref="P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84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11.8515625" style="0" bestFit="1" customWidth="1"/>
    <col min="2" max="2" width="6.8515625" style="0" bestFit="1" customWidth="1"/>
    <col min="3" max="3" width="7.57421875" style="0" bestFit="1" customWidth="1"/>
    <col min="4" max="4" width="6.8515625" style="0" bestFit="1" customWidth="1"/>
    <col min="5" max="5" width="7.57421875" style="0" bestFit="1" customWidth="1"/>
    <col min="6" max="6" width="6.8515625" style="0" bestFit="1" customWidth="1"/>
    <col min="7" max="7" width="7.57421875" style="0" bestFit="1" customWidth="1"/>
    <col min="8" max="8" width="4.140625" style="0" customWidth="1"/>
    <col min="9" max="9" width="10.7109375" style="0" bestFit="1" customWidth="1"/>
    <col min="10" max="10" width="11.421875" style="0" bestFit="1" customWidth="1"/>
    <col min="11" max="11" width="8.57421875" style="0" bestFit="1" customWidth="1"/>
    <col min="12" max="12" width="7.28125" style="0" bestFit="1" customWidth="1"/>
    <col min="13" max="13" width="4.421875" style="0" customWidth="1"/>
    <col min="14" max="14" width="13.140625" style="0" bestFit="1" customWidth="1"/>
    <col min="15" max="15" width="18.421875" style="0" bestFit="1" customWidth="1"/>
    <col min="16" max="16" width="12.8515625" style="0" bestFit="1" customWidth="1"/>
    <col min="17" max="17" width="4.28125" style="0" customWidth="1"/>
    <col min="18" max="18" width="14.140625" style="0" customWidth="1"/>
    <col min="19" max="19" width="18.421875" style="0" bestFit="1" customWidth="1"/>
    <col min="20" max="20" width="12.8515625" style="0" bestFit="1" customWidth="1"/>
  </cols>
  <sheetData>
    <row r="1" spans="1:14" ht="15.75" thickBot="1">
      <c r="A1" s="2"/>
      <c r="B1" s="333" t="s">
        <v>289</v>
      </c>
      <c r="C1" s="356"/>
      <c r="D1" s="356"/>
      <c r="E1" s="356"/>
      <c r="F1" s="356"/>
      <c r="G1" s="357"/>
      <c r="I1" s="2"/>
      <c r="J1" s="141" t="s">
        <v>115</v>
      </c>
      <c r="K1" s="140" t="s">
        <v>116</v>
      </c>
      <c r="L1" s="73" t="s">
        <v>126</v>
      </c>
      <c r="N1" s="67"/>
    </row>
    <row r="2" spans="1:32" ht="16.5" thickBot="1">
      <c r="A2" s="2"/>
      <c r="B2" s="58" t="s">
        <v>89</v>
      </c>
      <c r="C2" s="59" t="s">
        <v>90</v>
      </c>
      <c r="D2" s="60" t="s">
        <v>89</v>
      </c>
      <c r="E2" s="59" t="s">
        <v>90</v>
      </c>
      <c r="F2" s="60" t="s">
        <v>89</v>
      </c>
      <c r="G2" s="59" t="s">
        <v>90</v>
      </c>
      <c r="I2" s="297" t="s">
        <v>633</v>
      </c>
      <c r="J2" s="250">
        <f>IF(C3="","",(C3-B3)/B3)</f>
        <v>0.3381219922717681</v>
      </c>
      <c r="K2" s="251"/>
      <c r="L2" s="252"/>
      <c r="N2" s="353" t="s">
        <v>127</v>
      </c>
      <c r="O2" s="354"/>
      <c r="P2" s="355"/>
      <c r="R2" s="353" t="s">
        <v>35</v>
      </c>
      <c r="S2" s="354"/>
      <c r="T2" s="355"/>
      <c r="W2" s="67" t="s">
        <v>248</v>
      </c>
      <c r="Z2" s="67" t="s">
        <v>247</v>
      </c>
      <c r="AC2" s="67" t="s">
        <v>249</v>
      </c>
      <c r="AF2" s="67" t="s">
        <v>241</v>
      </c>
    </row>
    <row r="3" spans="1:44" ht="12.75">
      <c r="A3" s="61" t="s">
        <v>326</v>
      </c>
      <c r="B3" s="171">
        <v>8.4366</v>
      </c>
      <c r="C3" s="172">
        <v>11.2892</v>
      </c>
      <c r="D3" s="171">
        <v>8.4366</v>
      </c>
      <c r="E3" s="172">
        <v>11.2992</v>
      </c>
      <c r="F3" s="171">
        <v>8.4366</v>
      </c>
      <c r="G3" s="173">
        <v>11.292</v>
      </c>
      <c r="I3" s="136"/>
      <c r="J3" s="253">
        <f>IF(E3="","",(E3-D3)/D3)</f>
        <v>0.33930730389019276</v>
      </c>
      <c r="K3" s="254">
        <f>AVERAGE(J2:J4)</f>
        <v>0.3386277252289626</v>
      </c>
      <c r="L3" s="255">
        <f>STDEV(J2:J4)</f>
        <v>0.0006114798891229821</v>
      </c>
      <c r="N3" s="46"/>
      <c r="O3" s="36" t="s">
        <v>106</v>
      </c>
      <c r="P3" s="123" t="s">
        <v>107</v>
      </c>
      <c r="R3" s="46"/>
      <c r="S3" s="36" t="s">
        <v>106</v>
      </c>
      <c r="T3" s="123" t="s">
        <v>107</v>
      </c>
      <c r="W3" s="67" t="s">
        <v>244</v>
      </c>
      <c r="X3" s="122">
        <f>P4</f>
        <v>0.35111593538230573</v>
      </c>
      <c r="Z3" s="67" t="s">
        <v>244</v>
      </c>
      <c r="AA3" s="156">
        <f>P13</f>
        <v>0.36847029252724606</v>
      </c>
      <c r="AC3" s="67" t="s">
        <v>244</v>
      </c>
      <c r="AD3" s="122">
        <f>P22</f>
        <v>0.3646053846429194</v>
      </c>
      <c r="AF3" s="67" t="s">
        <v>250</v>
      </c>
      <c r="AG3" s="67" t="s">
        <v>269</v>
      </c>
      <c r="AH3" s="67" t="s">
        <v>244</v>
      </c>
      <c r="AI3" s="67" t="s">
        <v>242</v>
      </c>
      <c r="AJ3" s="67" t="s">
        <v>243</v>
      </c>
      <c r="AK3" s="67" t="s">
        <v>270</v>
      </c>
      <c r="AL3" s="67" t="s">
        <v>244</v>
      </c>
      <c r="AM3" s="67" t="s">
        <v>242</v>
      </c>
      <c r="AN3" s="67" t="s">
        <v>243</v>
      </c>
      <c r="AO3" s="67" t="s">
        <v>271</v>
      </c>
      <c r="AP3" s="67" t="s">
        <v>244</v>
      </c>
      <c r="AQ3" s="67" t="s">
        <v>242</v>
      </c>
      <c r="AR3" s="67" t="s">
        <v>243</v>
      </c>
    </row>
    <row r="4" spans="1:44" ht="13.5" thickBot="1">
      <c r="A4" s="270" t="s">
        <v>327</v>
      </c>
      <c r="B4" s="174">
        <v>8.4518</v>
      </c>
      <c r="C4" s="175">
        <v>11.341</v>
      </c>
      <c r="D4" s="174">
        <v>8.4518</v>
      </c>
      <c r="E4" s="175">
        <v>11.338</v>
      </c>
      <c r="F4" s="174">
        <v>8.4518</v>
      </c>
      <c r="G4" s="176">
        <v>11.352</v>
      </c>
      <c r="I4" s="137"/>
      <c r="J4" s="256">
        <f>IF(G3="","",(G3-F3)/F3)</f>
        <v>0.338453879524927</v>
      </c>
      <c r="K4" s="257"/>
      <c r="L4" s="258"/>
      <c r="N4" s="124" t="s">
        <v>108</v>
      </c>
      <c r="O4" s="57">
        <f>AVERAGE(J2:J10)</f>
        <v>0.35111593538230573</v>
      </c>
      <c r="P4" s="125">
        <f>AVERAGE(K2:K10)</f>
        <v>0.35111593538230573</v>
      </c>
      <c r="R4" s="124" t="s">
        <v>108</v>
      </c>
      <c r="S4" s="57">
        <f>AVERAGE(J2:J28)</f>
        <v>0.36139720418415705</v>
      </c>
      <c r="T4" s="125">
        <f>AVERAGE(K2:K28)</f>
        <v>0.3613972041841571</v>
      </c>
      <c r="W4" s="67" t="s">
        <v>245</v>
      </c>
      <c r="X4">
        <v>1.023</v>
      </c>
      <c r="Z4" s="67" t="s">
        <v>245</v>
      </c>
      <c r="AA4">
        <v>1.023</v>
      </c>
      <c r="AC4" s="67" t="s">
        <v>245</v>
      </c>
      <c r="AD4">
        <v>1.023</v>
      </c>
      <c r="AF4">
        <v>1</v>
      </c>
      <c r="AG4" s="122">
        <f>K3</f>
        <v>0.3386277252289626</v>
      </c>
      <c r="AH4" s="122">
        <f>X$3</f>
        <v>0.35111593538230573</v>
      </c>
      <c r="AI4" s="122">
        <f>X$6</f>
        <v>0.35341665907842956</v>
      </c>
      <c r="AJ4" s="122">
        <f>X$7</f>
        <v>0.3488152116861819</v>
      </c>
      <c r="AK4" s="122"/>
      <c r="AL4" s="122"/>
      <c r="AM4" s="122"/>
      <c r="AN4" s="122"/>
      <c r="AO4" s="122"/>
      <c r="AP4" s="122"/>
      <c r="AQ4" s="122"/>
      <c r="AR4" s="122"/>
    </row>
    <row r="5" spans="1:44" ht="13.5" thickBot="1">
      <c r="A5" s="62" t="s">
        <v>328</v>
      </c>
      <c r="B5" s="174">
        <v>8.399</v>
      </c>
      <c r="C5" s="175">
        <v>11.5448</v>
      </c>
      <c r="D5" s="174">
        <v>8.399</v>
      </c>
      <c r="E5" s="177">
        <v>11.5276</v>
      </c>
      <c r="F5" s="174">
        <v>8.399</v>
      </c>
      <c r="G5" s="178">
        <v>11.512</v>
      </c>
      <c r="I5" s="297" t="s">
        <v>634</v>
      </c>
      <c r="J5" s="259">
        <f>IF(C4="","",(C4-B4)/B4)</f>
        <v>0.34184434085046955</v>
      </c>
      <c r="K5" s="251"/>
      <c r="L5" s="252"/>
      <c r="N5" s="46" t="s">
        <v>109</v>
      </c>
      <c r="O5" s="57">
        <f>STDEV(J2:J10)</f>
        <v>0.016194032496610975</v>
      </c>
      <c r="P5" s="125">
        <f>STDEV(K2:K10)</f>
        <v>0.018655084228868093</v>
      </c>
      <c r="R5" s="46" t="s">
        <v>109</v>
      </c>
      <c r="S5" s="57">
        <f>STDEV(J2:J28)</f>
        <v>0.013598994933094728</v>
      </c>
      <c r="T5" s="125">
        <f>STDEV(K2:K28)</f>
        <v>0.014029950430085147</v>
      </c>
      <c r="W5" s="67" t="s">
        <v>246</v>
      </c>
      <c r="X5" s="156">
        <f>AVERAGE(AG16:AG18)</f>
        <v>0.0022489967704045024</v>
      </c>
      <c r="Z5" s="67" t="s">
        <v>246</v>
      </c>
      <c r="AA5" s="156">
        <f>AVERAGE(AK19:AK21)</f>
        <v>0.005867139279606822</v>
      </c>
      <c r="AC5" s="67" t="s">
        <v>246</v>
      </c>
      <c r="AD5" s="156">
        <f>AVERAGE(AO22:AO24)</f>
        <v>0.002682183765049658</v>
      </c>
      <c r="AF5">
        <v>2</v>
      </c>
      <c r="AG5" s="122">
        <f>K6</f>
        <v>0.342159855494293</v>
      </c>
      <c r="AH5" s="122">
        <f>X$3</f>
        <v>0.35111593538230573</v>
      </c>
      <c r="AI5" s="122">
        <f>X$6</f>
        <v>0.35341665907842956</v>
      </c>
      <c r="AJ5" s="122">
        <f>X$7</f>
        <v>0.3488152116861819</v>
      </c>
      <c r="AK5" s="122"/>
      <c r="AL5" s="122"/>
      <c r="AM5" s="122"/>
      <c r="AN5" s="122"/>
      <c r="AO5" s="122"/>
      <c r="AP5" s="122"/>
      <c r="AQ5" s="122"/>
      <c r="AR5" s="122"/>
    </row>
    <row r="6" spans="1:44" ht="12.75">
      <c r="A6" s="61" t="s">
        <v>332</v>
      </c>
      <c r="B6" s="171">
        <v>8.4434</v>
      </c>
      <c r="C6" s="172">
        <v>11.4466</v>
      </c>
      <c r="D6" s="171">
        <v>8.4434</v>
      </c>
      <c r="E6" s="173">
        <v>11.5006</v>
      </c>
      <c r="F6" s="171">
        <v>8.4434</v>
      </c>
      <c r="G6" s="176">
        <v>11.4834</v>
      </c>
      <c r="I6" s="136"/>
      <c r="J6" s="260">
        <f>IF(E4="","",(E4-D4)/D4)</f>
        <v>0.3414893868761682</v>
      </c>
      <c r="K6" s="254">
        <f>AVERAGE(J5:J7)</f>
        <v>0.342159855494293</v>
      </c>
      <c r="L6" s="255">
        <f>STDEV(J5:J7)</f>
        <v>0.0008721354972707117</v>
      </c>
      <c r="N6" s="126" t="s">
        <v>110</v>
      </c>
      <c r="O6" s="127">
        <f>O5/O4</f>
        <v>0.04612161074084666</v>
      </c>
      <c r="P6" s="128">
        <f>P5/P4</f>
        <v>0.05313083898785701</v>
      </c>
      <c r="R6" s="126" t="s">
        <v>110</v>
      </c>
      <c r="S6" s="127">
        <f>S5/S4</f>
        <v>0.03762894337767232</v>
      </c>
      <c r="T6" s="128">
        <f>T5/T4</f>
        <v>0.03882141385614015</v>
      </c>
      <c r="W6" s="67" t="s">
        <v>242</v>
      </c>
      <c r="X6" s="264">
        <f>X3+X4*X5</f>
        <v>0.35341665907842956</v>
      </c>
      <c r="Z6" s="67" t="s">
        <v>242</v>
      </c>
      <c r="AA6" s="264">
        <f>AA3+AA4*AA5</f>
        <v>0.3744723760102838</v>
      </c>
      <c r="AC6" s="67" t="s">
        <v>242</v>
      </c>
      <c r="AD6" s="264">
        <f>AD3+AD4*AD5</f>
        <v>0.3673492586345652</v>
      </c>
      <c r="AF6">
        <v>3</v>
      </c>
      <c r="AG6" s="122">
        <f>K9</f>
        <v>0.3725602254236617</v>
      </c>
      <c r="AH6" s="122">
        <f>X$3</f>
        <v>0.35111593538230573</v>
      </c>
      <c r="AI6" s="122">
        <f>X$6</f>
        <v>0.35341665907842956</v>
      </c>
      <c r="AJ6" s="122">
        <f>X$7</f>
        <v>0.3488152116861819</v>
      </c>
      <c r="AK6" s="122"/>
      <c r="AL6" s="122"/>
      <c r="AM6" s="122"/>
      <c r="AN6" s="122"/>
      <c r="AO6" s="122"/>
      <c r="AP6" s="122"/>
      <c r="AQ6" s="122"/>
      <c r="AR6" s="122"/>
    </row>
    <row r="7" spans="1:44" ht="13.5" thickBot="1">
      <c r="A7" s="270" t="s">
        <v>329</v>
      </c>
      <c r="B7" s="174">
        <v>8.418</v>
      </c>
      <c r="C7" s="175">
        <v>11.5782</v>
      </c>
      <c r="D7" s="174">
        <v>8.418</v>
      </c>
      <c r="E7" s="176">
        <v>11.5418</v>
      </c>
      <c r="F7" s="174">
        <v>8.418</v>
      </c>
      <c r="G7" s="176">
        <v>11.568</v>
      </c>
      <c r="I7" s="137"/>
      <c r="J7" s="261">
        <f>IF(G4="","",(G4-F4)/F4)</f>
        <v>0.3431458387562412</v>
      </c>
      <c r="K7" s="257"/>
      <c r="L7" s="258"/>
      <c r="N7" s="46"/>
      <c r="O7" s="36"/>
      <c r="P7" s="123"/>
      <c r="R7" s="46"/>
      <c r="S7" s="36"/>
      <c r="T7" s="123"/>
      <c r="W7" s="67" t="s">
        <v>243</v>
      </c>
      <c r="X7" s="265">
        <f>X3-X4*X5</f>
        <v>0.3488152116861819</v>
      </c>
      <c r="Z7" s="67" t="s">
        <v>243</v>
      </c>
      <c r="AA7" s="265">
        <f>AA3-AA4*AA5</f>
        <v>0.3624682090442083</v>
      </c>
      <c r="AC7" s="67" t="s">
        <v>243</v>
      </c>
      <c r="AD7" s="265">
        <f>AD3-AD4*AD5</f>
        <v>0.36186151065127364</v>
      </c>
      <c r="AF7">
        <v>4</v>
      </c>
      <c r="AG7" s="122"/>
      <c r="AH7" s="122"/>
      <c r="AI7" s="122"/>
      <c r="AJ7" s="122"/>
      <c r="AK7" s="122">
        <f>K12</f>
        <v>0.3592707519087887</v>
      </c>
      <c r="AL7" s="122">
        <f>AA$3</f>
        <v>0.36847029252724606</v>
      </c>
      <c r="AM7" s="122">
        <f>AA$6</f>
        <v>0.3744723760102838</v>
      </c>
      <c r="AN7" s="122">
        <f>AA$7</f>
        <v>0.3624682090442083</v>
      </c>
      <c r="AO7" s="122"/>
      <c r="AP7" s="122"/>
      <c r="AQ7" s="122"/>
      <c r="AR7" s="122"/>
    </row>
    <row r="8" spans="1:44" ht="13.5" thickBot="1">
      <c r="A8" s="63" t="s">
        <v>330</v>
      </c>
      <c r="B8" s="174">
        <v>8.428</v>
      </c>
      <c r="C8" s="175">
        <v>11.5904</v>
      </c>
      <c r="D8" s="174">
        <v>8.428</v>
      </c>
      <c r="E8" s="178">
        <v>11.5324</v>
      </c>
      <c r="F8" s="174">
        <v>8.428</v>
      </c>
      <c r="G8" s="178">
        <v>11.5814</v>
      </c>
      <c r="I8" s="297" t="s">
        <v>635</v>
      </c>
      <c r="J8" s="250">
        <f>IF(C5="","",(C5-B5)/B5)</f>
        <v>0.37454458864150514</v>
      </c>
      <c r="K8" s="251"/>
      <c r="L8" s="252"/>
      <c r="N8" s="124" t="s">
        <v>111</v>
      </c>
      <c r="O8" s="57">
        <f>MAX(J2:J10)</f>
        <v>0.37454458864150514</v>
      </c>
      <c r="P8" s="125">
        <f>MAX(K2:K10)</f>
        <v>0.3725602254236617</v>
      </c>
      <c r="R8" s="124" t="s">
        <v>111</v>
      </c>
      <c r="S8" s="57">
        <f>MAX(J2:J28)</f>
        <v>0.375409836065574</v>
      </c>
      <c r="T8" s="125">
        <f>MAX(K2:K28)</f>
        <v>0.3735645838283046</v>
      </c>
      <c r="AF8">
        <v>5</v>
      </c>
      <c r="AG8" s="122"/>
      <c r="AH8" s="122"/>
      <c r="AI8" s="122"/>
      <c r="AJ8" s="122"/>
      <c r="AK8" s="122">
        <f>K15</f>
        <v>0.3735645838283046</v>
      </c>
      <c r="AL8" s="122">
        <f>AA$3</f>
        <v>0.36847029252724606</v>
      </c>
      <c r="AM8" s="122">
        <f>AA$6</f>
        <v>0.3744723760102838</v>
      </c>
      <c r="AN8" s="122">
        <f>AA$7</f>
        <v>0.3624682090442083</v>
      </c>
      <c r="AO8" s="122"/>
      <c r="AP8" s="122"/>
      <c r="AQ8" s="122"/>
      <c r="AR8" s="122"/>
    </row>
    <row r="9" spans="1:44" ht="15">
      <c r="A9" s="62" t="s">
        <v>333</v>
      </c>
      <c r="B9" s="179">
        <v>8.4526</v>
      </c>
      <c r="C9" s="180">
        <v>11.6116</v>
      </c>
      <c r="D9" s="179">
        <v>8.4526</v>
      </c>
      <c r="E9" s="181">
        <v>11.6038</v>
      </c>
      <c r="F9" s="179">
        <v>8.4526</v>
      </c>
      <c r="G9" s="183">
        <v>11.603</v>
      </c>
      <c r="I9" s="136"/>
      <c r="J9" s="253">
        <f>IF(E5="","",(E5-D5)/D5)</f>
        <v>0.37249672580069065</v>
      </c>
      <c r="K9" s="254">
        <f>AVERAGE(J8:J10)</f>
        <v>0.3725602254236617</v>
      </c>
      <c r="L9" s="255">
        <f>STDEV(J8:J10)</f>
        <v>0.0019533876385082263</v>
      </c>
      <c r="N9" s="124" t="s">
        <v>112</v>
      </c>
      <c r="O9" s="57">
        <f>MIN(J2:J10)</f>
        <v>0.3381219922717681</v>
      </c>
      <c r="P9" s="125">
        <f>MIN(K2:K10)</f>
        <v>0.3386277252289626</v>
      </c>
      <c r="R9" s="124" t="s">
        <v>112</v>
      </c>
      <c r="S9" s="57">
        <f>MIN(J2:J28)</f>
        <v>0.3381219922717681</v>
      </c>
      <c r="T9" s="125">
        <f>MIN(K2:K28)</f>
        <v>0.3386277252289626</v>
      </c>
      <c r="AF9">
        <v>6</v>
      </c>
      <c r="AG9" s="122"/>
      <c r="AH9" s="122"/>
      <c r="AI9" s="122"/>
      <c r="AJ9" s="122"/>
      <c r="AK9" s="122">
        <f>K18</f>
        <v>0.37257554184464475</v>
      </c>
      <c r="AL9" s="122">
        <f>AA$3</f>
        <v>0.36847029252724606</v>
      </c>
      <c r="AM9" s="122">
        <f>AA$6</f>
        <v>0.3744723760102838</v>
      </c>
      <c r="AN9" s="122">
        <f>AA$7</f>
        <v>0.3624682090442083</v>
      </c>
      <c r="AO9" s="122"/>
      <c r="AP9" s="122"/>
      <c r="AQ9" s="122"/>
      <c r="AR9" s="122"/>
    </row>
    <row r="10" spans="1:44" ht="15.75" thickBot="1">
      <c r="A10" s="270" t="s">
        <v>331</v>
      </c>
      <c r="B10" s="182">
        <v>8.3928</v>
      </c>
      <c r="C10" s="184">
        <v>11.3378</v>
      </c>
      <c r="D10" s="182">
        <v>8.3928</v>
      </c>
      <c r="E10" s="184">
        <v>11.345</v>
      </c>
      <c r="F10" s="182">
        <v>8.3928</v>
      </c>
      <c r="G10" s="183">
        <v>11.3544</v>
      </c>
      <c r="I10" s="137"/>
      <c r="J10" s="256">
        <f>IF(G5="","",(G5-F5)/F5)</f>
        <v>0.3706393618287893</v>
      </c>
      <c r="K10" s="257"/>
      <c r="L10" s="258"/>
      <c r="N10" s="129" t="s">
        <v>113</v>
      </c>
      <c r="O10" s="130">
        <f>O8-O9</f>
        <v>0.03642259636973705</v>
      </c>
      <c r="P10" s="53">
        <f>P8-P9</f>
        <v>0.03393250019469907</v>
      </c>
      <c r="R10" s="129" t="s">
        <v>113</v>
      </c>
      <c r="S10" s="130">
        <f>S8-S9</f>
        <v>0.0372878437938059</v>
      </c>
      <c r="T10" s="53">
        <f>T8-T9</f>
        <v>0.03493685859934198</v>
      </c>
      <c r="AF10">
        <v>7</v>
      </c>
      <c r="AG10" s="122"/>
      <c r="AH10" s="122"/>
      <c r="AI10" s="122"/>
      <c r="AJ10" s="122"/>
      <c r="AK10" s="122"/>
      <c r="AL10" s="122"/>
      <c r="AM10" s="122"/>
      <c r="AN10" s="122"/>
      <c r="AO10" s="122">
        <f>K21</f>
        <v>0.37308441584049085</v>
      </c>
      <c r="AP10" s="122">
        <f>AD$3</f>
        <v>0.3646053846429194</v>
      </c>
      <c r="AQ10" s="122">
        <f>AD$6</f>
        <v>0.3673492586345652</v>
      </c>
      <c r="AR10" s="122">
        <f>AD$7</f>
        <v>0.36186151065127364</v>
      </c>
    </row>
    <row r="11" spans="1:44" ht="16.5" thickBot="1">
      <c r="A11" s="63" t="s">
        <v>334</v>
      </c>
      <c r="B11" s="185">
        <v>8.394</v>
      </c>
      <c r="C11" s="186">
        <v>11.4704</v>
      </c>
      <c r="D11" s="185">
        <v>8.394</v>
      </c>
      <c r="E11" s="186">
        <v>11.4882</v>
      </c>
      <c r="F11" s="185">
        <v>8.394</v>
      </c>
      <c r="G11" s="187">
        <v>11.5128</v>
      </c>
      <c r="I11" s="138" t="s">
        <v>636</v>
      </c>
      <c r="J11" s="250">
        <f>IF(C6="","",(C6-B6)/B6)</f>
        <v>0.3556860980173863</v>
      </c>
      <c r="K11" s="251"/>
      <c r="L11" s="252"/>
      <c r="N11" s="353" t="s">
        <v>128</v>
      </c>
      <c r="O11" s="354"/>
      <c r="P11" s="355"/>
      <c r="AF11">
        <v>8</v>
      </c>
      <c r="AG11" s="122"/>
      <c r="AH11" s="122"/>
      <c r="AI11" s="122"/>
      <c r="AJ11" s="122"/>
      <c r="AK11" s="122"/>
      <c r="AL11" s="122"/>
      <c r="AM11" s="122"/>
      <c r="AN11" s="122"/>
      <c r="AO11" s="122">
        <f>K24</f>
        <v>0.351841260763194</v>
      </c>
      <c r="AP11" s="122">
        <f>AD$3</f>
        <v>0.3646053846429194</v>
      </c>
      <c r="AQ11" s="122">
        <f>AD$6</f>
        <v>0.3673492586345652</v>
      </c>
      <c r="AR11" s="122">
        <f>AD$7</f>
        <v>0.36186151065127364</v>
      </c>
    </row>
    <row r="12" spans="9:44" ht="12.75">
      <c r="I12" s="136"/>
      <c r="J12" s="253">
        <f>IF(E6="","",(E6-D6)/D6)</f>
        <v>0.36208162588530685</v>
      </c>
      <c r="K12" s="254">
        <f>AVERAGE(J11:J13)</f>
        <v>0.3592707519087887</v>
      </c>
      <c r="L12" s="255">
        <f>STDEV(J11:J13)</f>
        <v>0.0032672229331414775</v>
      </c>
      <c r="N12" s="46"/>
      <c r="O12" s="36" t="s">
        <v>106</v>
      </c>
      <c r="P12" s="123" t="s">
        <v>107</v>
      </c>
      <c r="AF12">
        <v>9</v>
      </c>
      <c r="AG12" s="122"/>
      <c r="AH12" s="122"/>
      <c r="AI12" s="122"/>
      <c r="AJ12" s="122"/>
      <c r="AK12" s="122"/>
      <c r="AL12" s="122"/>
      <c r="AM12" s="122"/>
      <c r="AN12" s="122"/>
      <c r="AO12" s="122">
        <f>K27</f>
        <v>0.36889047732507346</v>
      </c>
      <c r="AP12" s="122">
        <f>AD$3</f>
        <v>0.3646053846429194</v>
      </c>
      <c r="AQ12" s="122">
        <f>AD$6</f>
        <v>0.3673492586345652</v>
      </c>
      <c r="AR12" s="122">
        <f>AD$7</f>
        <v>0.36186151065127364</v>
      </c>
    </row>
    <row r="13" spans="1:18" ht="16.5" thickBot="1">
      <c r="A13" t="s">
        <v>14</v>
      </c>
      <c r="B13" s="64">
        <v>19</v>
      </c>
      <c r="C13" s="65"/>
      <c r="D13" s="65"/>
      <c r="I13" s="137"/>
      <c r="J13" s="256">
        <f>IF(G6="","",(G6-F6)/F6)</f>
        <v>0.3600445318236728</v>
      </c>
      <c r="K13" s="257"/>
      <c r="L13" s="258"/>
      <c r="N13" s="124" t="s">
        <v>108</v>
      </c>
      <c r="O13" s="57">
        <f>AVERAGE(J11:J19)</f>
        <v>0.368470292527246</v>
      </c>
      <c r="P13" s="125">
        <f>AVERAGE(K11:K19)</f>
        <v>0.36847029252724606</v>
      </c>
      <c r="R13" s="266"/>
    </row>
    <row r="14" spans="1:32" ht="12.75">
      <c r="A14" t="s">
        <v>77</v>
      </c>
      <c r="B14" s="325" t="s">
        <v>105</v>
      </c>
      <c r="C14" s="358"/>
      <c r="D14" s="358"/>
      <c r="I14" s="138" t="s">
        <v>637</v>
      </c>
      <c r="J14" s="259">
        <f>IF(C7="","",(C7-B7)/B7)</f>
        <v>0.375409836065574</v>
      </c>
      <c r="K14" s="251"/>
      <c r="L14" s="252"/>
      <c r="N14" s="46" t="s">
        <v>109</v>
      </c>
      <c r="O14" s="57">
        <f>STDEV(J11:J19)</f>
        <v>0.007424988253990643</v>
      </c>
      <c r="P14" s="125">
        <f>STDEV(K11:K19)</f>
        <v>0.007982368802826946</v>
      </c>
      <c r="R14" s="268" t="s">
        <v>290</v>
      </c>
      <c r="S14" s="117"/>
      <c r="AF14" s="67" t="s">
        <v>259</v>
      </c>
    </row>
    <row r="15" spans="1:44" ht="15.75">
      <c r="A15" t="s">
        <v>78</v>
      </c>
      <c r="B15" s="359" t="s">
        <v>707</v>
      </c>
      <c r="C15" s="360"/>
      <c r="D15" s="360"/>
      <c r="I15" s="136"/>
      <c r="J15" s="260">
        <f>IF(E7="","",(E7-D7)/D7)</f>
        <v>0.3710857685911144</v>
      </c>
      <c r="K15" s="254">
        <f>IF(J16="","",AVERAGE(J14:J16))</f>
        <v>0.3735645838283046</v>
      </c>
      <c r="L15" s="255">
        <f>IF(J16="","",STDEV(J14:J16))</f>
        <v>0.0022305697561545183</v>
      </c>
      <c r="N15" s="126" t="s">
        <v>110</v>
      </c>
      <c r="O15" s="127">
        <f>O14/O13</f>
        <v>0.02015084636284922</v>
      </c>
      <c r="P15" s="128">
        <f>P14/P13</f>
        <v>0.0216635342515074</v>
      </c>
      <c r="R15" s="269" t="s">
        <v>291</v>
      </c>
      <c r="S15" s="271" t="str">
        <f>IF(T6&lt;=0.01,"Acceptable","Not acceptable, investigate reasons.")</f>
        <v>Not acceptable, investigate reasons.</v>
      </c>
      <c r="W15" s="67" t="s">
        <v>254</v>
      </c>
      <c r="Z15" s="67" t="s">
        <v>255</v>
      </c>
      <c r="AC15" s="67" t="s">
        <v>256</v>
      </c>
      <c r="AF15" s="67" t="s">
        <v>250</v>
      </c>
      <c r="AG15" s="67" t="s">
        <v>272</v>
      </c>
      <c r="AH15" s="67" t="s">
        <v>246</v>
      </c>
      <c r="AI15" s="67" t="s">
        <v>242</v>
      </c>
      <c r="AJ15" s="67" t="s">
        <v>243</v>
      </c>
      <c r="AK15" s="67" t="s">
        <v>273</v>
      </c>
      <c r="AL15" s="67" t="s">
        <v>246</v>
      </c>
      <c r="AM15" s="67" t="s">
        <v>242</v>
      </c>
      <c r="AN15" s="67" t="s">
        <v>243</v>
      </c>
      <c r="AO15" s="67" t="s">
        <v>274</v>
      </c>
      <c r="AP15" s="67" t="s">
        <v>246</v>
      </c>
      <c r="AQ15" s="67" t="s">
        <v>242</v>
      </c>
      <c r="AR15" s="67" t="s">
        <v>243</v>
      </c>
    </row>
    <row r="16" spans="1:44" ht="13.5" thickBot="1">
      <c r="A16" t="s">
        <v>76</v>
      </c>
      <c r="B16" s="64" t="s">
        <v>99</v>
      </c>
      <c r="C16" s="64"/>
      <c r="D16" s="64"/>
      <c r="I16" s="137"/>
      <c r="J16" s="261">
        <f>IF(G7="","",(G7-F7)/F7)</f>
        <v>0.37419814682822533</v>
      </c>
      <c r="K16" s="257"/>
      <c r="L16" s="258"/>
      <c r="N16" s="46"/>
      <c r="O16" s="36"/>
      <c r="P16" s="123"/>
      <c r="R16" s="267"/>
      <c r="W16" s="67" t="s">
        <v>246</v>
      </c>
      <c r="X16" s="122">
        <f>X5</f>
        <v>0.0022489967704045024</v>
      </c>
      <c r="Z16" s="67" t="s">
        <v>246</v>
      </c>
      <c r="AA16" s="122">
        <f>AA5</f>
        <v>0.005867139279606822</v>
      </c>
      <c r="AC16" s="67" t="s">
        <v>246</v>
      </c>
      <c r="AD16" s="122">
        <f>AD5</f>
        <v>0.002682183765049658</v>
      </c>
      <c r="AF16">
        <v>1</v>
      </c>
      <c r="AG16" s="122">
        <f>MAX(J2:J4)-MIN(J2:J4)</f>
        <v>0.001185311618424667</v>
      </c>
      <c r="AH16" s="122">
        <f>X$16</f>
        <v>0.0022489967704045024</v>
      </c>
      <c r="AI16" s="122">
        <f>X$19</f>
        <v>0.005788917687021189</v>
      </c>
      <c r="AJ16" s="122">
        <f>X$20</f>
        <v>0</v>
      </c>
      <c r="AK16" s="122"/>
      <c r="AL16" s="122"/>
      <c r="AM16" s="122"/>
      <c r="AN16" s="122"/>
      <c r="AO16" s="122"/>
      <c r="AP16" s="122"/>
      <c r="AQ16" s="122"/>
      <c r="AR16" s="122"/>
    </row>
    <row r="17" spans="6:44" ht="12.75">
      <c r="F17" s="2"/>
      <c r="G17" s="2"/>
      <c r="I17" s="138" t="s">
        <v>638</v>
      </c>
      <c r="J17" s="250">
        <f>IF(C8="","",(C8-B8)/B8)</f>
        <v>0.37522543901281435</v>
      </c>
      <c r="K17" s="251"/>
      <c r="L17" s="252"/>
      <c r="N17" s="124" t="s">
        <v>111</v>
      </c>
      <c r="O17" s="57">
        <f>MAX(J11:J19)</f>
        <v>0.375409836065574</v>
      </c>
      <c r="P17" s="125">
        <f>MAX(K11:K19)</f>
        <v>0.3735645838283046</v>
      </c>
      <c r="R17" s="267"/>
      <c r="W17" s="67" t="s">
        <v>257</v>
      </c>
      <c r="X17">
        <v>0</v>
      </c>
      <c r="Z17" s="67" t="s">
        <v>257</v>
      </c>
      <c r="AA17">
        <v>0</v>
      </c>
      <c r="AC17" s="67" t="s">
        <v>257</v>
      </c>
      <c r="AD17">
        <v>0</v>
      </c>
      <c r="AF17">
        <v>2</v>
      </c>
      <c r="AG17" s="122">
        <f>MAX(J5:J7)-MIN(J5:J7)</f>
        <v>0.0016564518800730177</v>
      </c>
      <c r="AH17" s="122">
        <f>X$16</f>
        <v>0.0022489967704045024</v>
      </c>
      <c r="AI17" s="122">
        <f>X$19</f>
        <v>0.005788917687021189</v>
      </c>
      <c r="AJ17" s="122">
        <f>X$20</f>
        <v>0</v>
      </c>
      <c r="AK17" s="122"/>
      <c r="AL17" s="122"/>
      <c r="AM17" s="122"/>
      <c r="AN17" s="122"/>
      <c r="AO17" s="122"/>
      <c r="AP17" s="122"/>
      <c r="AQ17" s="122"/>
      <c r="AR17" s="122"/>
    </row>
    <row r="18" spans="5:44" ht="15.75">
      <c r="E18" s="2"/>
      <c r="F18" s="2"/>
      <c r="G18" s="2"/>
      <c r="I18" s="136"/>
      <c r="J18" s="253">
        <f>IF(E8="","",(E8-D8)/D8)</f>
        <v>0.368343616516374</v>
      </c>
      <c r="K18" s="254">
        <f>AVERAGE(J17:J19)</f>
        <v>0.37257554184464475</v>
      </c>
      <c r="L18" s="255">
        <f>STDEV(J17:J19)</f>
        <v>0.0037036441571299873</v>
      </c>
      <c r="N18" s="124" t="s">
        <v>112</v>
      </c>
      <c r="O18" s="57">
        <f>MIN(J11:J19)</f>
        <v>0.3556860980173863</v>
      </c>
      <c r="P18" s="125">
        <f>MIN(K11:K19)</f>
        <v>0.3592707519087887</v>
      </c>
      <c r="R18" s="266"/>
      <c r="W18" s="67" t="s">
        <v>258</v>
      </c>
      <c r="X18">
        <v>2.574</v>
      </c>
      <c r="Z18" s="67" t="s">
        <v>258</v>
      </c>
      <c r="AA18">
        <v>2.574</v>
      </c>
      <c r="AC18" s="67" t="s">
        <v>258</v>
      </c>
      <c r="AD18">
        <v>2.574</v>
      </c>
      <c r="AF18">
        <v>3</v>
      </c>
      <c r="AG18" s="122">
        <f>MAX(J8:J10)-MIN(J8:J10)</f>
        <v>0.003905226812715823</v>
      </c>
      <c r="AH18" s="122">
        <f>X$16</f>
        <v>0.0022489967704045024</v>
      </c>
      <c r="AI18" s="122">
        <f>X$19</f>
        <v>0.005788917687021189</v>
      </c>
      <c r="AJ18" s="122">
        <f>X$20</f>
        <v>0</v>
      </c>
      <c r="AK18" s="122"/>
      <c r="AL18" s="122"/>
      <c r="AM18" s="122"/>
      <c r="AN18" s="122"/>
      <c r="AO18" s="122"/>
      <c r="AP18" s="122"/>
      <c r="AQ18" s="122"/>
      <c r="AR18" s="122"/>
    </row>
    <row r="19" spans="1:44" ht="13.5" thickBot="1">
      <c r="A19" s="2"/>
      <c r="B19" s="2"/>
      <c r="C19" s="2"/>
      <c r="E19" s="2"/>
      <c r="F19" s="2"/>
      <c r="G19" s="2"/>
      <c r="I19" s="137"/>
      <c r="J19" s="256">
        <f>IF(G8="","",(G8-F8)/F8)</f>
        <v>0.374157570004746</v>
      </c>
      <c r="K19" s="257"/>
      <c r="L19" s="258"/>
      <c r="N19" s="129" t="s">
        <v>113</v>
      </c>
      <c r="O19" s="130">
        <f>O17-O18</f>
        <v>0.019723738048187667</v>
      </c>
      <c r="P19" s="53">
        <f>P17-P18</f>
        <v>0.014293831919515887</v>
      </c>
      <c r="R19" s="267"/>
      <c r="W19" s="67" t="s">
        <v>242</v>
      </c>
      <c r="X19" s="122">
        <f>X18*X16</f>
        <v>0.005788917687021189</v>
      </c>
      <c r="Z19" s="67" t="s">
        <v>242</v>
      </c>
      <c r="AA19" s="122">
        <f>AA18*AA16</f>
        <v>0.015102016505707958</v>
      </c>
      <c r="AC19" s="67" t="s">
        <v>242</v>
      </c>
      <c r="AD19" s="122">
        <f>AD18*AD16</f>
        <v>0.006903941011237819</v>
      </c>
      <c r="AF19">
        <v>4</v>
      </c>
      <c r="AH19" s="122"/>
      <c r="AI19" s="122"/>
      <c r="AJ19" s="122"/>
      <c r="AK19" s="122">
        <f>MAX(J11:J13)-MIN(J11:J13)</f>
        <v>0.006395527867920525</v>
      </c>
      <c r="AL19" s="122">
        <f>AA$16</f>
        <v>0.005867139279606822</v>
      </c>
      <c r="AM19" s="122">
        <f>AA$19</f>
        <v>0.015102016505707958</v>
      </c>
      <c r="AN19" s="122">
        <f>AA$20</f>
        <v>0</v>
      </c>
      <c r="AO19" s="122"/>
      <c r="AP19" s="122"/>
      <c r="AQ19" s="122"/>
      <c r="AR19" s="122"/>
    </row>
    <row r="20" spans="1:44" ht="15.75">
      <c r="A20" s="154"/>
      <c r="B20" s="155"/>
      <c r="C20" s="2"/>
      <c r="E20" s="2"/>
      <c r="F20" s="2"/>
      <c r="G20" s="2"/>
      <c r="I20" s="139" t="s">
        <v>639</v>
      </c>
      <c r="J20" s="250">
        <f>IF(C9="","",(C9-B9)/B9)</f>
        <v>0.3737311596431866</v>
      </c>
      <c r="K20" s="251"/>
      <c r="L20" s="252"/>
      <c r="N20" s="353" t="s">
        <v>129</v>
      </c>
      <c r="O20" s="354"/>
      <c r="P20" s="355"/>
      <c r="R20" s="353" t="s">
        <v>708</v>
      </c>
      <c r="S20" s="354"/>
      <c r="T20" s="355"/>
      <c r="W20" s="67" t="s">
        <v>243</v>
      </c>
      <c r="X20" s="122">
        <f>X17*X16</f>
        <v>0</v>
      </c>
      <c r="Z20" s="67" t="s">
        <v>243</v>
      </c>
      <c r="AA20" s="122">
        <f>AA17*AA16</f>
        <v>0</v>
      </c>
      <c r="AC20" s="67" t="s">
        <v>243</v>
      </c>
      <c r="AD20" s="122">
        <f>AD17*AD16</f>
        <v>0</v>
      </c>
      <c r="AF20">
        <v>5</v>
      </c>
      <c r="AH20" s="122"/>
      <c r="AI20" s="122"/>
      <c r="AJ20" s="122"/>
      <c r="AK20" s="122">
        <f>MAX(J14:J16)-MIN(J14:J16)</f>
        <v>0.00432406747445957</v>
      </c>
      <c r="AL20" s="122">
        <f>AA$16</f>
        <v>0.005867139279606822</v>
      </c>
      <c r="AM20" s="122">
        <f>AA$19</f>
        <v>0.015102016505707958</v>
      </c>
      <c r="AN20" s="122">
        <f>AA$20</f>
        <v>0</v>
      </c>
      <c r="AO20" s="122"/>
      <c r="AP20" s="122"/>
      <c r="AQ20" s="122"/>
      <c r="AR20" s="122"/>
    </row>
    <row r="21" spans="1:44" ht="15">
      <c r="A21" s="154"/>
      <c r="B21" s="155"/>
      <c r="C21" s="2"/>
      <c r="E21" s="2"/>
      <c r="F21" s="2"/>
      <c r="G21" s="2"/>
      <c r="I21" s="136"/>
      <c r="J21" s="253">
        <f>IF(E9="","",(E9-D9)/D9)</f>
        <v>0.3728083666564133</v>
      </c>
      <c r="K21" s="254">
        <f>AVERAGE(J20:J22)</f>
        <v>0.37308441584049085</v>
      </c>
      <c r="L21" s="255">
        <f>STDEV(J20:J22)</f>
        <v>0.0005620921626512225</v>
      </c>
      <c r="N21" s="46"/>
      <c r="O21" s="36" t="s">
        <v>106</v>
      </c>
      <c r="P21" s="123" t="s">
        <v>107</v>
      </c>
      <c r="R21" s="46"/>
      <c r="S21" s="36" t="s">
        <v>106</v>
      </c>
      <c r="T21" s="123" t="s">
        <v>107</v>
      </c>
      <c r="AF21">
        <v>6</v>
      </c>
      <c r="AH21" s="122"/>
      <c r="AI21" s="122"/>
      <c r="AJ21" s="122"/>
      <c r="AK21" s="122">
        <f>MAX(J17:J19)-MIN(J17:J19)</f>
        <v>0.006881822496440371</v>
      </c>
      <c r="AL21" s="122">
        <f>AA$16</f>
        <v>0.005867139279606822</v>
      </c>
      <c r="AM21" s="122">
        <f>AA$19</f>
        <v>0.015102016505707958</v>
      </c>
      <c r="AN21" s="122">
        <f>AA$20</f>
        <v>0</v>
      </c>
      <c r="AO21" s="122"/>
      <c r="AP21" s="122"/>
      <c r="AQ21" s="122"/>
      <c r="AR21" s="122"/>
    </row>
    <row r="22" spans="1:44" ht="15.75" customHeight="1" thickBot="1">
      <c r="A22" s="154"/>
      <c r="B22" s="155"/>
      <c r="C22" s="2"/>
      <c r="E22" s="2"/>
      <c r="F22" s="2"/>
      <c r="G22" s="2"/>
      <c r="I22" s="137"/>
      <c r="J22" s="256">
        <f>IF(G9="","",(G9-F9)/F9)</f>
        <v>0.37271372122187246</v>
      </c>
      <c r="K22" s="257"/>
      <c r="L22" s="258"/>
      <c r="N22" s="124" t="s">
        <v>108</v>
      </c>
      <c r="O22" s="57">
        <f>AVERAGE(J20:J28)</f>
        <v>0.36460538464291936</v>
      </c>
      <c r="P22" s="125">
        <f>AVERAGE(K20:K28)</f>
        <v>0.3646053846429194</v>
      </c>
      <c r="R22" s="124" t="s">
        <v>108</v>
      </c>
      <c r="S22" s="57">
        <f>AVERAGE(J8:J28)</f>
        <v>0.36739817956202264</v>
      </c>
      <c r="T22" s="125">
        <f>AVERAGE(K9:K27)</f>
        <v>0.36739817956202264</v>
      </c>
      <c r="AF22">
        <v>7</v>
      </c>
      <c r="AH22" s="122"/>
      <c r="AI22" s="122"/>
      <c r="AJ22" s="122"/>
      <c r="AK22" s="122"/>
      <c r="AL22" s="122"/>
      <c r="AM22" s="122"/>
      <c r="AN22" s="122"/>
      <c r="AO22" s="122">
        <f>MAX(J20:J22)-MIN(J20:J22)</f>
        <v>0.0010174384213141319</v>
      </c>
      <c r="AP22" s="122">
        <f>AD$16</f>
        <v>0.002682183765049658</v>
      </c>
      <c r="AQ22" s="122">
        <f>AD$19</f>
        <v>0.006903941011237819</v>
      </c>
      <c r="AR22" s="122">
        <f>AD$20</f>
        <v>0</v>
      </c>
    </row>
    <row r="23" spans="1:44" ht="15">
      <c r="A23" s="154"/>
      <c r="B23" s="155"/>
      <c r="C23" s="2"/>
      <c r="E23" s="2"/>
      <c r="F23" s="2"/>
      <c r="G23" s="2"/>
      <c r="I23" s="139" t="s">
        <v>640</v>
      </c>
      <c r="J23" s="259">
        <f>IF(C10="","",(C10-B10)/B10)</f>
        <v>0.3508960061004671</v>
      </c>
      <c r="K23" s="251"/>
      <c r="L23" s="252"/>
      <c r="N23" s="46" t="s">
        <v>109</v>
      </c>
      <c r="O23" s="57">
        <f>STDEV(J20:J28)</f>
        <v>0.009842527188772418</v>
      </c>
      <c r="P23" s="125">
        <f>STDEV(K20:K28)</f>
        <v>0.0112511965532786</v>
      </c>
      <c r="R23" s="46" t="s">
        <v>109</v>
      </c>
      <c r="S23" s="57">
        <f>STDEV(J8:J28)</f>
        <v>0.00831913487770169</v>
      </c>
      <c r="T23" s="125">
        <f>STDEV(K9:K27)</f>
        <v>0.008505972192705519</v>
      </c>
      <c r="AF23">
        <v>8</v>
      </c>
      <c r="AH23" s="122"/>
      <c r="AI23" s="122"/>
      <c r="AJ23" s="122"/>
      <c r="AK23" s="122"/>
      <c r="AL23" s="122"/>
      <c r="AM23" s="122"/>
      <c r="AN23" s="122"/>
      <c r="AO23" s="122">
        <f>MAX(J23:J25)-MIN(J23:J25)</f>
        <v>0.0019778858068821292</v>
      </c>
      <c r="AP23" s="122">
        <f>AD$16</f>
        <v>0.002682183765049658</v>
      </c>
      <c r="AQ23" s="122">
        <f>AD$19</f>
        <v>0.006903941011237819</v>
      </c>
      <c r="AR23" s="122">
        <f>AD$20</f>
        <v>0</v>
      </c>
    </row>
    <row r="24" spans="1:44" ht="15">
      <c r="A24" s="154"/>
      <c r="B24" s="155"/>
      <c r="C24" s="2"/>
      <c r="F24" s="2"/>
      <c r="G24" s="2"/>
      <c r="I24" s="136"/>
      <c r="J24" s="260">
        <f>IF(E10="","",(E10-D10)/D10)</f>
        <v>0.3517538842817655</v>
      </c>
      <c r="K24" s="254">
        <f>AVERAGE(J23:J25)</f>
        <v>0.351841260763194</v>
      </c>
      <c r="L24" s="255">
        <f>STDEV(J23:J25)</f>
        <v>0.0009918336823261016</v>
      </c>
      <c r="N24" s="126" t="s">
        <v>110</v>
      </c>
      <c r="O24" s="127">
        <f>O23/O22</f>
        <v>0.026995013248122528</v>
      </c>
      <c r="P24" s="128">
        <f>P23/P22</f>
        <v>0.030858558395393944</v>
      </c>
      <c r="R24" s="126" t="s">
        <v>110</v>
      </c>
      <c r="S24" s="127">
        <f>S23/S22</f>
        <v>0.022643375336314883</v>
      </c>
      <c r="T24" s="128">
        <f>T23/T22</f>
        <v>0.023151917091275558</v>
      </c>
      <c r="AF24">
        <v>9</v>
      </c>
      <c r="AH24" s="122"/>
      <c r="AI24" s="122"/>
      <c r="AJ24" s="122"/>
      <c r="AK24" s="122"/>
      <c r="AL24" s="122"/>
      <c r="AM24" s="122"/>
      <c r="AN24" s="122"/>
      <c r="AO24" s="122">
        <f>MAX(J26:J28)-MIN(J26:J28)</f>
        <v>0.005051227066952713</v>
      </c>
      <c r="AP24" s="122">
        <f>AD$16</f>
        <v>0.002682183765049658</v>
      </c>
      <c r="AQ24" s="122">
        <f>AD$19</f>
        <v>0.006903941011237819</v>
      </c>
      <c r="AR24" s="122">
        <f>AD$20</f>
        <v>0</v>
      </c>
    </row>
    <row r="25" spans="1:44" ht="15.75" thickBot="1">
      <c r="A25" s="154"/>
      <c r="B25" s="155"/>
      <c r="C25" s="2"/>
      <c r="D25" s="2"/>
      <c r="I25" s="137"/>
      <c r="J25" s="261">
        <f>IF(G10="","",(G10-F10)/F10)</f>
        <v>0.35287389190734925</v>
      </c>
      <c r="K25" s="257"/>
      <c r="L25" s="258"/>
      <c r="N25" s="46"/>
      <c r="O25" s="36"/>
      <c r="P25" s="123"/>
      <c r="R25" s="46"/>
      <c r="S25" s="36"/>
      <c r="T25" s="123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</row>
    <row r="26" spans="1:32" ht="15">
      <c r="A26" s="154"/>
      <c r="B26" s="155"/>
      <c r="C26" s="2"/>
      <c r="D26" s="2"/>
      <c r="I26" s="139" t="s">
        <v>641</v>
      </c>
      <c r="J26" s="250">
        <f>IF(C11="","",(C11-B11)/B11)</f>
        <v>0.3664998808672861</v>
      </c>
      <c r="K26" s="251"/>
      <c r="L26" s="252"/>
      <c r="N26" s="124" t="s">
        <v>111</v>
      </c>
      <c r="O26" s="57">
        <f>MAX(J20:J28)</f>
        <v>0.3737311596431866</v>
      </c>
      <c r="P26" s="125">
        <f>MAX(K20:K28)</f>
        <v>0.37308441584049085</v>
      </c>
      <c r="R26" s="124" t="s">
        <v>111</v>
      </c>
      <c r="S26" s="57">
        <f>MAX(J8:J28)</f>
        <v>0.375409836065574</v>
      </c>
      <c r="T26" s="125">
        <f>MAX(K9:K27)</f>
        <v>0.3735645838283046</v>
      </c>
      <c r="AF26" s="67" t="s">
        <v>266</v>
      </c>
    </row>
    <row r="27" spans="1:44" ht="15">
      <c r="A27" s="154"/>
      <c r="B27" s="155"/>
      <c r="C27" s="2"/>
      <c r="D27" s="2"/>
      <c r="I27" s="136"/>
      <c r="J27" s="253">
        <f>IF(E11="","",(E11-D11)/D11)</f>
        <v>0.3686204431736956</v>
      </c>
      <c r="K27" s="254">
        <f>AVERAGE(J26:J28)</f>
        <v>0.36889047732507346</v>
      </c>
      <c r="L27" s="255">
        <f>STDEV(J26:J28)</f>
        <v>0.002536417267064257</v>
      </c>
      <c r="N27" s="124" t="s">
        <v>112</v>
      </c>
      <c r="O27" s="57">
        <f>MIN(J20:J28)</f>
        <v>0.3508960061004671</v>
      </c>
      <c r="P27" s="125">
        <f>MIN(K20:K28)</f>
        <v>0.351841260763194</v>
      </c>
      <c r="R27" s="124" t="s">
        <v>112</v>
      </c>
      <c r="S27" s="57">
        <f>MIN(J8:J28)</f>
        <v>0.3508960061004671</v>
      </c>
      <c r="T27" s="125">
        <f>MIN(K9:K27)</f>
        <v>0.351841260763194</v>
      </c>
      <c r="W27" s="67" t="s">
        <v>261</v>
      </c>
      <c r="Z27" s="67" t="s">
        <v>262</v>
      </c>
      <c r="AC27" s="67" t="s">
        <v>263</v>
      </c>
      <c r="AF27" s="67" t="s">
        <v>250</v>
      </c>
      <c r="AG27" s="67" t="s">
        <v>269</v>
      </c>
      <c r="AH27" s="67" t="s">
        <v>244</v>
      </c>
      <c r="AI27" s="67" t="s">
        <v>242</v>
      </c>
      <c r="AJ27" s="67" t="s">
        <v>243</v>
      </c>
      <c r="AK27" s="67" t="s">
        <v>270</v>
      </c>
      <c r="AL27" s="67" t="s">
        <v>244</v>
      </c>
      <c r="AM27" s="67" t="s">
        <v>242</v>
      </c>
      <c r="AN27" s="67" t="s">
        <v>243</v>
      </c>
      <c r="AO27" s="67" t="s">
        <v>271</v>
      </c>
      <c r="AP27" s="67" t="s">
        <v>244</v>
      </c>
      <c r="AQ27" s="67" t="s">
        <v>242</v>
      </c>
      <c r="AR27" s="67" t="s">
        <v>243</v>
      </c>
    </row>
    <row r="28" spans="1:36" ht="15.75" thickBot="1">
      <c r="A28" s="154"/>
      <c r="B28" s="155"/>
      <c r="C28" s="2"/>
      <c r="D28" s="2"/>
      <c r="I28" s="137"/>
      <c r="J28" s="256">
        <f>IF(G11="","",(G11-F11)/F11)</f>
        <v>0.3715511079342388</v>
      </c>
      <c r="K28" s="257"/>
      <c r="L28" s="258"/>
      <c r="N28" s="129" t="s">
        <v>113</v>
      </c>
      <c r="O28" s="130">
        <f>O26-O27</f>
        <v>0.022835153542719477</v>
      </c>
      <c r="P28" s="53">
        <f>P26-P27</f>
        <v>0.02124315507729685</v>
      </c>
      <c r="R28" s="129" t="s">
        <v>113</v>
      </c>
      <c r="S28" s="130">
        <f>S26-S27</f>
        <v>0.02451382996510687</v>
      </c>
      <c r="T28" s="53">
        <f>T26-T27</f>
        <v>0.0217233230651106</v>
      </c>
      <c r="W28" s="67" t="s">
        <v>244</v>
      </c>
      <c r="X28" s="122">
        <f>X3</f>
        <v>0.35111593538230573</v>
      </c>
      <c r="Z28" s="67" t="s">
        <v>244</v>
      </c>
      <c r="AA28" s="122">
        <f>AA3</f>
        <v>0.36847029252724606</v>
      </c>
      <c r="AC28" s="67" t="s">
        <v>244</v>
      </c>
      <c r="AD28" s="122">
        <f>AD3</f>
        <v>0.3646053846429194</v>
      </c>
      <c r="AF28">
        <v>1</v>
      </c>
      <c r="AG28" s="122">
        <f>J2</f>
        <v>0.3381219922717681</v>
      </c>
      <c r="AH28" s="122">
        <f aca="true" t="shared" si="0" ref="AH28:AH36">X$28</f>
        <v>0.35111593538230573</v>
      </c>
      <c r="AI28" s="122">
        <f aca="true" t="shared" si="1" ref="AI28:AI36">X$32</f>
        <v>0.3996980328721387</v>
      </c>
      <c r="AJ28" s="122">
        <f aca="true" t="shared" si="2" ref="AJ28:AJ36">X$33</f>
        <v>0.3025338378924728</v>
      </c>
    </row>
    <row r="29" spans="1:36" ht="12.75">
      <c r="A29" s="2"/>
      <c r="B29" s="2"/>
      <c r="C29" s="2"/>
      <c r="D29" s="2"/>
      <c r="W29" s="67" t="s">
        <v>260</v>
      </c>
      <c r="X29">
        <f>SQRT(X31/(X30-1))</f>
        <v>0.016194032496610975</v>
      </c>
      <c r="Z29" s="67" t="s">
        <v>260</v>
      </c>
      <c r="AA29">
        <f>SQRT(AA31/(AA30-1))</f>
        <v>0.007424988253990643</v>
      </c>
      <c r="AC29" s="67" t="s">
        <v>260</v>
      </c>
      <c r="AD29">
        <f>SQRT(AD31/(AD30-1))</f>
        <v>0.009842527188772418</v>
      </c>
      <c r="AF29">
        <v>2</v>
      </c>
      <c r="AG29" s="122">
        <f aca="true" t="shared" si="3" ref="AG29:AG36">J3</f>
        <v>0.33930730389019276</v>
      </c>
      <c r="AH29" s="122">
        <f t="shared" si="0"/>
        <v>0.35111593538230573</v>
      </c>
      <c r="AI29" s="122">
        <f t="shared" si="1"/>
        <v>0.3996980328721387</v>
      </c>
      <c r="AJ29" s="122">
        <f t="shared" si="2"/>
        <v>0.3025338378924728</v>
      </c>
    </row>
    <row r="30" spans="1:36" ht="12.75">
      <c r="A30" s="2"/>
      <c r="B30" s="2"/>
      <c r="C30" s="2"/>
      <c r="D30" s="2"/>
      <c r="W30" s="67" t="s">
        <v>265</v>
      </c>
      <c r="X30">
        <v>9</v>
      </c>
      <c r="Z30" s="67" t="s">
        <v>265</v>
      </c>
      <c r="AA30">
        <v>9</v>
      </c>
      <c r="AC30" s="67" t="s">
        <v>265</v>
      </c>
      <c r="AD30">
        <v>9</v>
      </c>
      <c r="AF30">
        <v>3</v>
      </c>
      <c r="AG30" s="122">
        <f t="shared" si="3"/>
        <v>0.338453879524927</v>
      </c>
      <c r="AH30" s="122">
        <f t="shared" si="0"/>
        <v>0.35111593538230573</v>
      </c>
      <c r="AI30" s="122">
        <f t="shared" si="1"/>
        <v>0.3996980328721387</v>
      </c>
      <c r="AJ30" s="122">
        <f t="shared" si="2"/>
        <v>0.3025338378924728</v>
      </c>
    </row>
    <row r="31" spans="1:36" ht="12.75">
      <c r="A31" s="2"/>
      <c r="B31" s="2"/>
      <c r="C31" s="2"/>
      <c r="D31" s="2"/>
      <c r="W31" s="67" t="s">
        <v>264</v>
      </c>
      <c r="X31">
        <f>SUM(X35:X43)</f>
        <v>0.002097973508010338</v>
      </c>
      <c r="Z31" s="67" t="s">
        <v>264</v>
      </c>
      <c r="AA31">
        <f>SUM(AA35:AA43)</f>
        <v>0.0004410436045751921</v>
      </c>
      <c r="AC31" s="67" t="s">
        <v>264</v>
      </c>
      <c r="AD31">
        <f>SUM(AD35:AD43)</f>
        <v>0.0007750027316937942</v>
      </c>
      <c r="AF31">
        <v>4</v>
      </c>
      <c r="AG31" s="122">
        <f t="shared" si="3"/>
        <v>0.34184434085046955</v>
      </c>
      <c r="AH31" s="122">
        <f t="shared" si="0"/>
        <v>0.35111593538230573</v>
      </c>
      <c r="AI31" s="122">
        <f t="shared" si="1"/>
        <v>0.3996980328721387</v>
      </c>
      <c r="AJ31" s="122">
        <f t="shared" si="2"/>
        <v>0.3025338378924728</v>
      </c>
    </row>
    <row r="32" spans="1:36" ht="12.75">
      <c r="A32" s="2"/>
      <c r="B32" s="2"/>
      <c r="C32" s="2"/>
      <c r="D32" s="2"/>
      <c r="E32" s="2"/>
      <c r="F32" s="2"/>
      <c r="G32" s="2"/>
      <c r="H32" s="2"/>
      <c r="I32" s="2"/>
      <c r="J32" s="2"/>
      <c r="W32" s="67" t="s">
        <v>242</v>
      </c>
      <c r="X32" s="122">
        <f>X28+(3*X29)</f>
        <v>0.3996980328721387</v>
      </c>
      <c r="Z32" s="67" t="s">
        <v>242</v>
      </c>
      <c r="AA32" s="122">
        <f>AA28+(3*AA29)</f>
        <v>0.390745257289218</v>
      </c>
      <c r="AC32" s="67" t="s">
        <v>242</v>
      </c>
      <c r="AD32" s="122">
        <f>AD28+(3*AD29)</f>
        <v>0.39413296620923666</v>
      </c>
      <c r="AF32">
        <v>5</v>
      </c>
      <c r="AG32" s="122">
        <f t="shared" si="3"/>
        <v>0.3414893868761682</v>
      </c>
      <c r="AH32" s="122">
        <f t="shared" si="0"/>
        <v>0.35111593538230573</v>
      </c>
      <c r="AI32" s="122">
        <f t="shared" si="1"/>
        <v>0.3996980328721387</v>
      </c>
      <c r="AJ32" s="122">
        <f t="shared" si="2"/>
        <v>0.3025338378924728</v>
      </c>
    </row>
    <row r="33" spans="1:36" ht="12.75">
      <c r="A33" s="2"/>
      <c r="B33" s="262"/>
      <c r="C33" s="262"/>
      <c r="D33" s="262"/>
      <c r="E33" s="262"/>
      <c r="F33" s="262"/>
      <c r="G33" s="262"/>
      <c r="H33" s="2"/>
      <c r="I33" s="2"/>
      <c r="J33" s="2"/>
      <c r="W33" s="67" t="s">
        <v>243</v>
      </c>
      <c r="X33" s="122">
        <f>X28-(3*X29)</f>
        <v>0.3025338378924728</v>
      </c>
      <c r="Z33" s="67" t="s">
        <v>243</v>
      </c>
      <c r="AA33" s="122">
        <f>AA28-(3*AA29)</f>
        <v>0.3461953277652741</v>
      </c>
      <c r="AC33" s="67" t="s">
        <v>243</v>
      </c>
      <c r="AD33" s="122">
        <f>AD28-(3*AD29)</f>
        <v>0.3350778030766022</v>
      </c>
      <c r="AF33">
        <v>6</v>
      </c>
      <c r="AG33" s="122">
        <f t="shared" si="3"/>
        <v>0.3431458387562412</v>
      </c>
      <c r="AH33" s="122">
        <f t="shared" si="0"/>
        <v>0.35111593538230573</v>
      </c>
      <c r="AI33" s="122">
        <f t="shared" si="1"/>
        <v>0.3996980328721387</v>
      </c>
      <c r="AJ33" s="122">
        <f t="shared" si="2"/>
        <v>0.3025338378924728</v>
      </c>
    </row>
    <row r="34" spans="1:36" ht="12.75">
      <c r="A34" s="2"/>
      <c r="B34" s="262"/>
      <c r="C34" s="262"/>
      <c r="D34" s="262"/>
      <c r="E34" s="262"/>
      <c r="F34" s="262"/>
      <c r="G34" s="262"/>
      <c r="H34" s="2"/>
      <c r="I34" s="2"/>
      <c r="J34" s="2"/>
      <c r="AF34">
        <v>7</v>
      </c>
      <c r="AG34" s="122">
        <f t="shared" si="3"/>
        <v>0.37454458864150514</v>
      </c>
      <c r="AH34" s="122">
        <f t="shared" si="0"/>
        <v>0.35111593538230573</v>
      </c>
      <c r="AI34" s="122">
        <f t="shared" si="1"/>
        <v>0.3996980328721387</v>
      </c>
      <c r="AJ34" s="122">
        <f t="shared" si="2"/>
        <v>0.3025338378924728</v>
      </c>
    </row>
    <row r="35" spans="1:36" ht="12.75">
      <c r="A35" s="2"/>
      <c r="B35" s="262"/>
      <c r="C35" s="262"/>
      <c r="D35" s="262"/>
      <c r="E35" s="262"/>
      <c r="F35" s="262"/>
      <c r="G35" s="262"/>
      <c r="H35" s="2"/>
      <c r="I35" s="2"/>
      <c r="J35" s="2"/>
      <c r="W35" s="122">
        <f>J2</f>
        <v>0.3381219922717681</v>
      </c>
      <c r="X35">
        <f aca="true" t="shared" si="4" ref="X35:X43">(W35-$X$28)^2</f>
        <v>0.00016884255755988866</v>
      </c>
      <c r="Z35" s="122">
        <f>J11</f>
        <v>0.3556860980173863</v>
      </c>
      <c r="AA35">
        <f aca="true" t="shared" si="5" ref="AA35:AA43">(Z35-$AA$28)^2</f>
        <v>0.00016343562926592783</v>
      </c>
      <c r="AC35" s="122">
        <f>J20</f>
        <v>0.3737311596431866</v>
      </c>
      <c r="AD35">
        <f aca="true" t="shared" si="6" ref="AD35:AD43">(AC35-$AD$28)^2</f>
        <v>8.327976935550141E-05</v>
      </c>
      <c r="AF35">
        <v>8</v>
      </c>
      <c r="AG35" s="122">
        <f t="shared" si="3"/>
        <v>0.37249672580069065</v>
      </c>
      <c r="AH35" s="122">
        <f t="shared" si="0"/>
        <v>0.35111593538230573</v>
      </c>
      <c r="AI35" s="122">
        <f t="shared" si="1"/>
        <v>0.3996980328721387</v>
      </c>
      <c r="AJ35" s="122">
        <f t="shared" si="2"/>
        <v>0.3025338378924728</v>
      </c>
    </row>
    <row r="36" spans="1:36" ht="12.75">
      <c r="A36" s="2"/>
      <c r="B36" s="262"/>
      <c r="C36" s="262"/>
      <c r="D36" s="262"/>
      <c r="E36" s="262"/>
      <c r="F36" s="262"/>
      <c r="G36" s="262"/>
      <c r="H36" s="2"/>
      <c r="I36" s="2"/>
      <c r="J36" s="2"/>
      <c r="W36" s="122">
        <f aca="true" t="shared" si="7" ref="W36:W43">J3</f>
        <v>0.33930730389019276</v>
      </c>
      <c r="X36">
        <f t="shared" si="4"/>
        <v>0.0001394437777165223</v>
      </c>
      <c r="Z36" s="122">
        <f aca="true" t="shared" si="8" ref="Z36:Z43">J12</f>
        <v>0.36208162588530685</v>
      </c>
      <c r="AA36">
        <f t="shared" si="5"/>
        <v>4.081506146182684E-05</v>
      </c>
      <c r="AC36" s="122">
        <f aca="true" t="shared" si="9" ref="AC36:AC43">J21</f>
        <v>0.3728083666564133</v>
      </c>
      <c r="AD36">
        <f t="shared" si="6"/>
        <v>6.728891391370441E-05</v>
      </c>
      <c r="AF36">
        <v>9</v>
      </c>
      <c r="AG36" s="122">
        <f t="shared" si="3"/>
        <v>0.3706393618287893</v>
      </c>
      <c r="AH36" s="122">
        <f t="shared" si="0"/>
        <v>0.35111593538230573</v>
      </c>
      <c r="AI36" s="122">
        <f t="shared" si="1"/>
        <v>0.3996980328721387</v>
      </c>
      <c r="AJ36" s="122">
        <f t="shared" si="2"/>
        <v>0.3025338378924728</v>
      </c>
    </row>
    <row r="37" spans="1:40" ht="12.75">
      <c r="A37" s="2"/>
      <c r="B37" s="262"/>
      <c r="C37" s="262"/>
      <c r="D37" s="262"/>
      <c r="E37" s="262"/>
      <c r="F37" s="262"/>
      <c r="G37" s="262"/>
      <c r="H37" s="2"/>
      <c r="I37" s="2"/>
      <c r="J37" s="2"/>
      <c r="W37" s="122">
        <f t="shared" si="7"/>
        <v>0.338453879524927</v>
      </c>
      <c r="X37">
        <f t="shared" si="4"/>
        <v>0.000160327658535379</v>
      </c>
      <c r="Z37" s="122">
        <f t="shared" si="8"/>
        <v>0.3600445318236728</v>
      </c>
      <c r="AA37">
        <f t="shared" si="5"/>
        <v>7.099344343387935E-05</v>
      </c>
      <c r="AC37" s="122">
        <f t="shared" si="9"/>
        <v>0.37271372122187246</v>
      </c>
      <c r="AD37">
        <f t="shared" si="6"/>
        <v>6.574512207758799E-05</v>
      </c>
      <c r="AF37">
        <v>10</v>
      </c>
      <c r="AK37" s="122">
        <f>J11</f>
        <v>0.3556860980173863</v>
      </c>
      <c r="AL37" s="122">
        <f aca="true" t="shared" si="10" ref="AL37:AL45">AA$28</f>
        <v>0.36847029252724606</v>
      </c>
      <c r="AM37" s="122">
        <f aca="true" t="shared" si="11" ref="AM37:AM45">AA$32</f>
        <v>0.390745257289218</v>
      </c>
      <c r="AN37" s="122">
        <f aca="true" t="shared" si="12" ref="AN37:AN45">AA$33</f>
        <v>0.3461953277652741</v>
      </c>
    </row>
    <row r="38" spans="1:40" ht="12.75">
      <c r="A38" s="2"/>
      <c r="B38" s="262"/>
      <c r="C38" s="262"/>
      <c r="D38" s="262"/>
      <c r="E38" s="262"/>
      <c r="F38" s="262"/>
      <c r="G38" s="262"/>
      <c r="H38" s="2"/>
      <c r="I38" s="2"/>
      <c r="J38" s="2"/>
      <c r="W38" s="122">
        <f t="shared" si="7"/>
        <v>0.34184434085046955</v>
      </c>
      <c r="X38">
        <f t="shared" si="4"/>
        <v>8.596246516277457E-05</v>
      </c>
      <c r="Z38" s="122">
        <f t="shared" si="8"/>
        <v>0.375409836065574</v>
      </c>
      <c r="AA38">
        <f t="shared" si="5"/>
        <v>4.815726452034893E-05</v>
      </c>
      <c r="AC38" s="122">
        <f t="shared" si="9"/>
        <v>0.3508960061004671</v>
      </c>
      <c r="AD38">
        <f t="shared" si="6"/>
        <v>0.00018794706002025154</v>
      </c>
      <c r="AF38">
        <v>11</v>
      </c>
      <c r="AK38" s="122">
        <f aca="true" t="shared" si="13" ref="AK38:AK45">J12</f>
        <v>0.36208162588530685</v>
      </c>
      <c r="AL38" s="122">
        <f t="shared" si="10"/>
        <v>0.36847029252724606</v>
      </c>
      <c r="AM38" s="122">
        <f t="shared" si="11"/>
        <v>0.390745257289218</v>
      </c>
      <c r="AN38" s="122">
        <f t="shared" si="12"/>
        <v>0.3461953277652741</v>
      </c>
    </row>
    <row r="39" spans="1:40" ht="15">
      <c r="A39" s="2"/>
      <c r="B39" s="263"/>
      <c r="C39" s="263"/>
      <c r="D39" s="263"/>
      <c r="E39" s="263"/>
      <c r="F39" s="263"/>
      <c r="G39" s="263"/>
      <c r="H39" s="2"/>
      <c r="I39" s="2"/>
      <c r="J39" s="2"/>
      <c r="W39" s="122">
        <f t="shared" si="7"/>
        <v>0.3414893868761682</v>
      </c>
      <c r="X39">
        <f t="shared" si="4"/>
        <v>9.267043614101877E-05</v>
      </c>
      <c r="Z39" s="122">
        <f t="shared" si="8"/>
        <v>0.3710857685911144</v>
      </c>
      <c r="AA39">
        <f t="shared" si="5"/>
        <v>6.840715040668333E-06</v>
      </c>
      <c r="AC39" s="122">
        <f t="shared" si="9"/>
        <v>0.3517538842817655</v>
      </c>
      <c r="AD39">
        <f t="shared" si="6"/>
        <v>0.00016516106153273882</v>
      </c>
      <c r="AF39">
        <v>12</v>
      </c>
      <c r="AK39" s="122">
        <f t="shared" si="13"/>
        <v>0.3600445318236728</v>
      </c>
      <c r="AL39" s="122">
        <f t="shared" si="10"/>
        <v>0.36847029252724606</v>
      </c>
      <c r="AM39" s="122">
        <f t="shared" si="11"/>
        <v>0.390745257289218</v>
      </c>
      <c r="AN39" s="122">
        <f t="shared" si="12"/>
        <v>0.3461953277652741</v>
      </c>
    </row>
    <row r="40" spans="1:40" ht="15">
      <c r="A40" s="2"/>
      <c r="B40" s="263"/>
      <c r="C40" s="263"/>
      <c r="D40" s="263"/>
      <c r="E40" s="263"/>
      <c r="F40" s="263"/>
      <c r="G40" s="263"/>
      <c r="H40" s="2"/>
      <c r="I40" s="2"/>
      <c r="J40" s="2"/>
      <c r="W40" s="122">
        <f t="shared" si="7"/>
        <v>0.3431458387562412</v>
      </c>
      <c r="X40">
        <f t="shared" si="4"/>
        <v>6.352244022880498E-05</v>
      </c>
      <c r="Z40" s="122">
        <f t="shared" si="8"/>
        <v>0.37419814682822533</v>
      </c>
      <c r="AA40">
        <f t="shared" si="5"/>
        <v>3.280831489324677E-05</v>
      </c>
      <c r="AC40" s="122">
        <f t="shared" si="9"/>
        <v>0.35287389190734925</v>
      </c>
      <c r="AD40">
        <f t="shared" si="6"/>
        <v>0.00013762792180473568</v>
      </c>
      <c r="AF40">
        <v>13</v>
      </c>
      <c r="AK40" s="122">
        <f t="shared" si="13"/>
        <v>0.375409836065574</v>
      </c>
      <c r="AL40" s="122">
        <f t="shared" si="10"/>
        <v>0.36847029252724606</v>
      </c>
      <c r="AM40" s="122">
        <f t="shared" si="11"/>
        <v>0.390745257289218</v>
      </c>
      <c r="AN40" s="122">
        <f t="shared" si="12"/>
        <v>0.3461953277652741</v>
      </c>
    </row>
    <row r="41" spans="1:40" ht="15">
      <c r="A41" s="2"/>
      <c r="B41" s="263"/>
      <c r="C41" s="263"/>
      <c r="D41" s="263"/>
      <c r="E41" s="263"/>
      <c r="F41" s="263"/>
      <c r="G41" s="263"/>
      <c r="H41" s="2"/>
      <c r="I41" s="2"/>
      <c r="J41" s="2"/>
      <c r="W41" s="122">
        <f t="shared" si="7"/>
        <v>0.37454458864150514</v>
      </c>
      <c r="X41">
        <f t="shared" si="4"/>
        <v>0.0005489017935397949</v>
      </c>
      <c r="Z41" s="122">
        <f t="shared" si="8"/>
        <v>0.37522543901281435</v>
      </c>
      <c r="AA41">
        <f t="shared" si="5"/>
        <v>4.563200404148572E-05</v>
      </c>
      <c r="AC41" s="122">
        <f t="shared" si="9"/>
        <v>0.3664998808672861</v>
      </c>
      <c r="AD41">
        <f t="shared" si="6"/>
        <v>3.5891159441395287E-06</v>
      </c>
      <c r="AF41">
        <v>14</v>
      </c>
      <c r="AK41" s="122">
        <f t="shared" si="13"/>
        <v>0.3710857685911144</v>
      </c>
      <c r="AL41" s="122">
        <f t="shared" si="10"/>
        <v>0.36847029252724606</v>
      </c>
      <c r="AM41" s="122">
        <f t="shared" si="11"/>
        <v>0.390745257289218</v>
      </c>
      <c r="AN41" s="122">
        <f t="shared" si="12"/>
        <v>0.3461953277652741</v>
      </c>
    </row>
    <row r="42" spans="1:40" ht="12.75">
      <c r="A42" s="2"/>
      <c r="B42" s="2"/>
      <c r="C42" s="2"/>
      <c r="D42" s="2"/>
      <c r="E42" s="2"/>
      <c r="F42" s="2"/>
      <c r="G42" s="2"/>
      <c r="H42" s="2"/>
      <c r="I42" s="2"/>
      <c r="J42" s="2"/>
      <c r="W42" s="122">
        <f t="shared" si="7"/>
        <v>0.37249672580069065</v>
      </c>
      <c r="X42">
        <f t="shared" si="4"/>
        <v>0.00045713819891490045</v>
      </c>
      <c r="Z42" s="122">
        <f t="shared" si="8"/>
        <v>0.368343616516374</v>
      </c>
      <c r="AA42">
        <f t="shared" si="5"/>
        <v>1.604681173046162E-08</v>
      </c>
      <c r="AC42" s="122">
        <f t="shared" si="9"/>
        <v>0.3686204431736956</v>
      </c>
      <c r="AD42">
        <f t="shared" si="6"/>
        <v>1.6120695005558426E-05</v>
      </c>
      <c r="AF42">
        <v>15</v>
      </c>
      <c r="AK42" s="122">
        <f t="shared" si="13"/>
        <v>0.37419814682822533</v>
      </c>
      <c r="AL42" s="122">
        <f t="shared" si="10"/>
        <v>0.36847029252724606</v>
      </c>
      <c r="AM42" s="122">
        <f t="shared" si="11"/>
        <v>0.390745257289218</v>
      </c>
      <c r="AN42" s="122">
        <f t="shared" si="12"/>
        <v>0.3461953277652741</v>
      </c>
    </row>
    <row r="43" spans="1:40" ht="12.75">
      <c r="A43" s="2"/>
      <c r="B43" s="2"/>
      <c r="C43" s="2"/>
      <c r="D43" s="2"/>
      <c r="E43" s="2"/>
      <c r="F43" s="2"/>
      <c r="G43" s="2"/>
      <c r="H43" s="2"/>
      <c r="I43" s="2"/>
      <c r="J43" s="2"/>
      <c r="W43" s="122">
        <f t="shared" si="7"/>
        <v>0.3706393618287893</v>
      </c>
      <c r="X43">
        <f t="shared" si="4"/>
        <v>0.0003811641802112546</v>
      </c>
      <c r="Z43" s="122">
        <f t="shared" si="8"/>
        <v>0.374157570004746</v>
      </c>
      <c r="AA43">
        <f t="shared" si="5"/>
        <v>3.2345125106077844E-05</v>
      </c>
      <c r="AC43" s="122">
        <f t="shared" si="9"/>
        <v>0.3715511079342388</v>
      </c>
      <c r="AD43">
        <f t="shared" si="6"/>
        <v>4.824307203957641E-05</v>
      </c>
      <c r="AF43">
        <v>16</v>
      </c>
      <c r="AK43" s="122">
        <f t="shared" si="13"/>
        <v>0.37522543901281435</v>
      </c>
      <c r="AL43" s="122">
        <f t="shared" si="10"/>
        <v>0.36847029252724606</v>
      </c>
      <c r="AM43" s="122">
        <f t="shared" si="11"/>
        <v>0.390745257289218</v>
      </c>
      <c r="AN43" s="122">
        <f t="shared" si="12"/>
        <v>0.3461953277652741</v>
      </c>
    </row>
    <row r="44" spans="1:40" ht="12.75">
      <c r="A44" s="2"/>
      <c r="B44" s="2"/>
      <c r="C44" s="2"/>
      <c r="D44" s="2"/>
      <c r="E44" s="2"/>
      <c r="F44" s="2"/>
      <c r="G44" s="2"/>
      <c r="H44" s="2"/>
      <c r="I44" s="2"/>
      <c r="J44" s="2"/>
      <c r="AF44">
        <v>17</v>
      </c>
      <c r="AK44" s="122">
        <f t="shared" si="13"/>
        <v>0.368343616516374</v>
      </c>
      <c r="AL44" s="122">
        <f t="shared" si="10"/>
        <v>0.36847029252724606</v>
      </c>
      <c r="AM44" s="122">
        <f t="shared" si="11"/>
        <v>0.390745257289218</v>
      </c>
      <c r="AN44" s="122">
        <f t="shared" si="12"/>
        <v>0.3461953277652741</v>
      </c>
    </row>
    <row r="45" spans="32:40" ht="12.75">
      <c r="AF45">
        <v>18</v>
      </c>
      <c r="AK45" s="122">
        <f t="shared" si="13"/>
        <v>0.374157570004746</v>
      </c>
      <c r="AL45" s="122">
        <f t="shared" si="10"/>
        <v>0.36847029252724606</v>
      </c>
      <c r="AM45" s="122">
        <f t="shared" si="11"/>
        <v>0.390745257289218</v>
      </c>
      <c r="AN45" s="122">
        <f t="shared" si="12"/>
        <v>0.3461953277652741</v>
      </c>
    </row>
    <row r="46" spans="32:44" ht="12.75">
      <c r="AF46">
        <v>19</v>
      </c>
      <c r="AO46" s="122">
        <f>J20</f>
        <v>0.3737311596431866</v>
      </c>
      <c r="AP46" s="122">
        <f aca="true" t="shared" si="14" ref="AP46:AP54">AD$28</f>
        <v>0.3646053846429194</v>
      </c>
      <c r="AQ46" s="122">
        <f aca="true" t="shared" si="15" ref="AQ46:AQ54">AD$32</f>
        <v>0.39413296620923666</v>
      </c>
      <c r="AR46" s="122">
        <f aca="true" t="shared" si="16" ref="AR46:AR54">AD$33</f>
        <v>0.3350778030766022</v>
      </c>
    </row>
    <row r="47" spans="32:44" ht="12.75">
      <c r="AF47">
        <v>20</v>
      </c>
      <c r="AO47" s="122">
        <f aca="true" t="shared" si="17" ref="AO47:AO54">J21</f>
        <v>0.3728083666564133</v>
      </c>
      <c r="AP47" s="122">
        <f t="shared" si="14"/>
        <v>0.3646053846429194</v>
      </c>
      <c r="AQ47" s="122">
        <f t="shared" si="15"/>
        <v>0.39413296620923666</v>
      </c>
      <c r="AR47" s="122">
        <f t="shared" si="16"/>
        <v>0.3350778030766022</v>
      </c>
    </row>
    <row r="48" spans="32:44" ht="12.75">
      <c r="AF48">
        <v>21</v>
      </c>
      <c r="AO48" s="122">
        <f t="shared" si="17"/>
        <v>0.37271372122187246</v>
      </c>
      <c r="AP48" s="122">
        <f t="shared" si="14"/>
        <v>0.3646053846429194</v>
      </c>
      <c r="AQ48" s="122">
        <f t="shared" si="15"/>
        <v>0.39413296620923666</v>
      </c>
      <c r="AR48" s="122">
        <f t="shared" si="16"/>
        <v>0.3350778030766022</v>
      </c>
    </row>
    <row r="49" spans="32:44" ht="12.75">
      <c r="AF49">
        <v>22</v>
      </c>
      <c r="AO49" s="122">
        <f t="shared" si="17"/>
        <v>0.3508960061004671</v>
      </c>
      <c r="AP49" s="122">
        <f t="shared" si="14"/>
        <v>0.3646053846429194</v>
      </c>
      <c r="AQ49" s="122">
        <f t="shared" si="15"/>
        <v>0.39413296620923666</v>
      </c>
      <c r="AR49" s="122">
        <f t="shared" si="16"/>
        <v>0.3350778030766022</v>
      </c>
    </row>
    <row r="50" spans="32:44" ht="12.75">
      <c r="AF50">
        <v>23</v>
      </c>
      <c r="AO50" s="122">
        <f t="shared" si="17"/>
        <v>0.3517538842817655</v>
      </c>
      <c r="AP50" s="122">
        <f t="shared" si="14"/>
        <v>0.3646053846429194</v>
      </c>
      <c r="AQ50" s="122">
        <f t="shared" si="15"/>
        <v>0.39413296620923666</v>
      </c>
      <c r="AR50" s="122">
        <f t="shared" si="16"/>
        <v>0.3350778030766022</v>
      </c>
    </row>
    <row r="51" spans="32:44" ht="12.75">
      <c r="AF51">
        <v>24</v>
      </c>
      <c r="AO51" s="122">
        <f t="shared" si="17"/>
        <v>0.35287389190734925</v>
      </c>
      <c r="AP51" s="122">
        <f t="shared" si="14"/>
        <v>0.3646053846429194</v>
      </c>
      <c r="AQ51" s="122">
        <f t="shared" si="15"/>
        <v>0.39413296620923666</v>
      </c>
      <c r="AR51" s="122">
        <f t="shared" si="16"/>
        <v>0.3350778030766022</v>
      </c>
    </row>
    <row r="52" spans="32:44" ht="12.75">
      <c r="AF52">
        <v>25</v>
      </c>
      <c r="AO52" s="122">
        <f t="shared" si="17"/>
        <v>0.3664998808672861</v>
      </c>
      <c r="AP52" s="122">
        <f t="shared" si="14"/>
        <v>0.3646053846429194</v>
      </c>
      <c r="AQ52" s="122">
        <f t="shared" si="15"/>
        <v>0.39413296620923666</v>
      </c>
      <c r="AR52" s="122">
        <f t="shared" si="16"/>
        <v>0.3350778030766022</v>
      </c>
    </row>
    <row r="53" spans="32:44" ht="12.75">
      <c r="AF53">
        <v>26</v>
      </c>
      <c r="AO53" s="122">
        <f t="shared" si="17"/>
        <v>0.3686204431736956</v>
      </c>
      <c r="AP53" s="122">
        <f t="shared" si="14"/>
        <v>0.3646053846429194</v>
      </c>
      <c r="AQ53" s="122">
        <f t="shared" si="15"/>
        <v>0.39413296620923666</v>
      </c>
      <c r="AR53" s="122">
        <f t="shared" si="16"/>
        <v>0.3350778030766022</v>
      </c>
    </row>
    <row r="54" spans="32:44" ht="12.75">
      <c r="AF54">
        <v>27</v>
      </c>
      <c r="AO54" s="122">
        <f t="shared" si="17"/>
        <v>0.3715511079342388</v>
      </c>
      <c r="AP54" s="122">
        <f t="shared" si="14"/>
        <v>0.3646053846429194</v>
      </c>
      <c r="AQ54" s="122">
        <f t="shared" si="15"/>
        <v>0.39413296620923666</v>
      </c>
      <c r="AR54" s="122">
        <f t="shared" si="16"/>
        <v>0.3350778030766022</v>
      </c>
    </row>
    <row r="55" ht="12.75">
      <c r="AK55" s="122"/>
    </row>
    <row r="56" ht="12.75">
      <c r="AF56" s="67" t="s">
        <v>275</v>
      </c>
    </row>
    <row r="57" spans="23:44" ht="12.75">
      <c r="W57" s="67" t="s">
        <v>261</v>
      </c>
      <c r="Z57" s="67" t="s">
        <v>262</v>
      </c>
      <c r="AC57" s="67" t="s">
        <v>263</v>
      </c>
      <c r="AF57" s="67" t="s">
        <v>250</v>
      </c>
      <c r="AG57" s="67" t="s">
        <v>272</v>
      </c>
      <c r="AH57" s="67" t="s">
        <v>267</v>
      </c>
      <c r="AI57" s="67" t="s">
        <v>242</v>
      </c>
      <c r="AJ57" s="67" t="s">
        <v>243</v>
      </c>
      <c r="AK57" s="67" t="s">
        <v>273</v>
      </c>
      <c r="AL57" s="67" t="s">
        <v>267</v>
      </c>
      <c r="AM57" s="67" t="s">
        <v>242</v>
      </c>
      <c r="AN57" s="67" t="s">
        <v>243</v>
      </c>
      <c r="AO57" s="67" t="s">
        <v>274</v>
      </c>
      <c r="AP57" s="67" t="s">
        <v>267</v>
      </c>
      <c r="AQ57" s="67" t="s">
        <v>242</v>
      </c>
      <c r="AR57" s="67" t="s">
        <v>243</v>
      </c>
    </row>
    <row r="58" spans="23:36" ht="12.75">
      <c r="W58" s="67" t="s">
        <v>267</v>
      </c>
      <c r="X58" s="122">
        <f>AVERAGE(W63:W70)</f>
        <v>0.0053430724826983855</v>
      </c>
      <c r="Z58" s="67" t="s">
        <v>267</v>
      </c>
      <c r="AA58" s="122">
        <f>AVERAGE(Z63:Z70)</f>
        <v>0.005619680006553454</v>
      </c>
      <c r="AC58" s="67" t="s">
        <v>267</v>
      </c>
      <c r="AD58" s="122">
        <f>AVERAGE(AC63:AC70)</f>
        <v>0.005436281922061394</v>
      </c>
      <c r="AF58">
        <v>1</v>
      </c>
      <c r="AG58" s="122">
        <f aca="true" t="shared" si="18" ref="AG58:AG65">W63</f>
        <v>0.001185311618424667</v>
      </c>
      <c r="AH58" s="122">
        <f aca="true" t="shared" si="19" ref="AH58:AH65">X$58</f>
        <v>0.0053430724826983855</v>
      </c>
      <c r="AI58" s="122">
        <f aca="true" t="shared" si="20" ref="AI58:AI65">X$59</f>
        <v>0.01959838986653768</v>
      </c>
      <c r="AJ58" s="122">
        <f aca="true" t="shared" si="21" ref="AJ58:AJ65">X$60</f>
        <v>0</v>
      </c>
    </row>
    <row r="59" spans="23:36" ht="12.75">
      <c r="W59" s="67" t="s">
        <v>242</v>
      </c>
      <c r="X59" s="122">
        <f>3.668*X58</f>
        <v>0.01959838986653768</v>
      </c>
      <c r="Z59" s="67" t="s">
        <v>242</v>
      </c>
      <c r="AA59" s="122">
        <f>3.668*AA58</f>
        <v>0.02061298626403807</v>
      </c>
      <c r="AC59" s="67" t="s">
        <v>242</v>
      </c>
      <c r="AD59" s="122">
        <f>3.668*AD58</f>
        <v>0.019940282090121192</v>
      </c>
      <c r="AF59">
        <v>2</v>
      </c>
      <c r="AG59" s="122">
        <f t="shared" si="18"/>
        <v>0.0008534243652657536</v>
      </c>
      <c r="AH59" s="122">
        <f t="shared" si="19"/>
        <v>0.0053430724826983855</v>
      </c>
      <c r="AI59" s="122">
        <f t="shared" si="20"/>
        <v>0.01959838986653768</v>
      </c>
      <c r="AJ59" s="122">
        <f t="shared" si="21"/>
        <v>0</v>
      </c>
    </row>
    <row r="60" spans="23:36" ht="12.75">
      <c r="W60" s="67" t="s">
        <v>243</v>
      </c>
      <c r="X60" s="122">
        <v>0</v>
      </c>
      <c r="Z60" s="67" t="s">
        <v>243</v>
      </c>
      <c r="AA60" s="122">
        <v>0</v>
      </c>
      <c r="AC60" s="67" t="s">
        <v>243</v>
      </c>
      <c r="AD60" s="122">
        <v>0</v>
      </c>
      <c r="AF60">
        <v>3</v>
      </c>
      <c r="AG60" s="122">
        <f t="shared" si="18"/>
        <v>0.0033904613255425486</v>
      </c>
      <c r="AH60" s="122">
        <f t="shared" si="19"/>
        <v>0.0053430724826983855</v>
      </c>
      <c r="AI60" s="122">
        <f t="shared" si="20"/>
        <v>0.01959838986653768</v>
      </c>
      <c r="AJ60" s="122">
        <f t="shared" si="21"/>
        <v>0</v>
      </c>
    </row>
    <row r="61" spans="23:36" ht="12.75">
      <c r="W61" s="67"/>
      <c r="Z61" s="67"/>
      <c r="AC61" s="67"/>
      <c r="AF61">
        <v>4</v>
      </c>
      <c r="AG61" s="122">
        <f t="shared" si="18"/>
        <v>0.000354953974301353</v>
      </c>
      <c r="AH61" s="122">
        <f t="shared" si="19"/>
        <v>0.0053430724826983855</v>
      </c>
      <c r="AI61" s="122">
        <f t="shared" si="20"/>
        <v>0.01959838986653768</v>
      </c>
      <c r="AJ61" s="122">
        <f t="shared" si="21"/>
        <v>0</v>
      </c>
    </row>
    <row r="62" spans="23:36" ht="12.75">
      <c r="W62" s="67" t="s">
        <v>268</v>
      </c>
      <c r="AD62" s="122"/>
      <c r="AF62">
        <v>5</v>
      </c>
      <c r="AG62" s="122">
        <f t="shared" si="18"/>
        <v>0.0016564518800730177</v>
      </c>
      <c r="AH62" s="122">
        <f t="shared" si="19"/>
        <v>0.0053430724826983855</v>
      </c>
      <c r="AI62" s="122">
        <f t="shared" si="20"/>
        <v>0.01959838986653768</v>
      </c>
      <c r="AJ62" s="122">
        <f t="shared" si="21"/>
        <v>0</v>
      </c>
    </row>
    <row r="63" spans="23:36" ht="12.75">
      <c r="W63">
        <f>ABS(J2-J3)</f>
        <v>0.001185311618424667</v>
      </c>
      <c r="Z63">
        <f>ABS(J11-J12)</f>
        <v>0.006395527867920525</v>
      </c>
      <c r="AC63">
        <f>ABS(J20-J21)</f>
        <v>0.0009227929867732798</v>
      </c>
      <c r="AD63" s="122"/>
      <c r="AF63">
        <v>6</v>
      </c>
      <c r="AG63" s="122">
        <f t="shared" si="18"/>
        <v>0.03139874988526392</v>
      </c>
      <c r="AH63" s="122">
        <f t="shared" si="19"/>
        <v>0.0053430724826983855</v>
      </c>
      <c r="AI63" s="122">
        <f t="shared" si="20"/>
        <v>0.01959838986653768</v>
      </c>
      <c r="AJ63" s="122">
        <f t="shared" si="21"/>
        <v>0</v>
      </c>
    </row>
    <row r="64" spans="23:36" ht="12.75">
      <c r="W64">
        <f aca="true" t="shared" si="22" ref="W64:W70">ABS(J3-J4)</f>
        <v>0.0008534243652657536</v>
      </c>
      <c r="Z64">
        <f aca="true" t="shared" si="23" ref="Z64:Z70">ABS(J12-J13)</f>
        <v>0.0020370940616340483</v>
      </c>
      <c r="AC64">
        <f aca="true" t="shared" si="24" ref="AC64:AC70">ABS(J21-J22)</f>
        <v>9.464543454085206E-05</v>
      </c>
      <c r="AF64">
        <v>7</v>
      </c>
      <c r="AG64" s="122">
        <f t="shared" si="18"/>
        <v>0.002047862840814485</v>
      </c>
      <c r="AH64" s="122">
        <f t="shared" si="19"/>
        <v>0.0053430724826983855</v>
      </c>
      <c r="AI64" s="122">
        <f t="shared" si="20"/>
        <v>0.01959838986653768</v>
      </c>
      <c r="AJ64" s="122">
        <f t="shared" si="21"/>
        <v>0</v>
      </c>
    </row>
    <row r="65" spans="23:36" ht="12.75">
      <c r="W65">
        <f t="shared" si="22"/>
        <v>0.0033904613255425486</v>
      </c>
      <c r="Z65">
        <f t="shared" si="23"/>
        <v>0.01536530424190119</v>
      </c>
      <c r="AC65">
        <f t="shared" si="24"/>
        <v>0.021817715121405346</v>
      </c>
      <c r="AF65">
        <v>8</v>
      </c>
      <c r="AG65" s="122">
        <f t="shared" si="18"/>
        <v>0.001857363971901338</v>
      </c>
      <c r="AH65" s="122">
        <f t="shared" si="19"/>
        <v>0.0053430724826983855</v>
      </c>
      <c r="AI65" s="122">
        <f t="shared" si="20"/>
        <v>0.01959838986653768</v>
      </c>
      <c r="AJ65" s="122">
        <f t="shared" si="21"/>
        <v>0</v>
      </c>
    </row>
    <row r="66" spans="23:40" ht="12.75">
      <c r="W66">
        <f t="shared" si="22"/>
        <v>0.000354953974301353</v>
      </c>
      <c r="Z66">
        <f t="shared" si="23"/>
        <v>0.00432406747445957</v>
      </c>
      <c r="AC66">
        <f t="shared" si="24"/>
        <v>0.0008578781812983993</v>
      </c>
      <c r="AF66">
        <v>9</v>
      </c>
      <c r="AG66" s="122"/>
      <c r="AH66" s="122"/>
      <c r="AI66" s="122"/>
      <c r="AJ66" s="122"/>
      <c r="AK66" t="e">
        <f>#REF!</f>
        <v>#REF!</v>
      </c>
      <c r="AL66" s="122">
        <f aca="true" t="shared" si="25" ref="AL66:AL73">AA$58</f>
        <v>0.005619680006553454</v>
      </c>
      <c r="AM66" s="122">
        <f aca="true" t="shared" si="26" ref="AM66:AM73">AA$59</f>
        <v>0.02061298626403807</v>
      </c>
      <c r="AN66" s="122">
        <f aca="true" t="shared" si="27" ref="AN66:AN73">AA$60</f>
        <v>0</v>
      </c>
    </row>
    <row r="67" spans="23:40" ht="12.75">
      <c r="W67">
        <f t="shared" si="22"/>
        <v>0.0016564518800730177</v>
      </c>
      <c r="Z67">
        <f t="shared" si="23"/>
        <v>0.003112378237110913</v>
      </c>
      <c r="AC67">
        <f t="shared" si="24"/>
        <v>0.00112000762558373</v>
      </c>
      <c r="AF67">
        <v>10</v>
      </c>
      <c r="AK67">
        <f aca="true" t="shared" si="28" ref="AK67:AK73">Z64</f>
        <v>0.0020370940616340483</v>
      </c>
      <c r="AL67" s="122">
        <f t="shared" si="25"/>
        <v>0.005619680006553454</v>
      </c>
      <c r="AM67" s="122">
        <f t="shared" si="26"/>
        <v>0.02061298626403807</v>
      </c>
      <c r="AN67" s="122">
        <f t="shared" si="27"/>
        <v>0</v>
      </c>
    </row>
    <row r="68" spans="23:40" ht="12.75">
      <c r="W68">
        <f t="shared" si="22"/>
        <v>0.03139874988526392</v>
      </c>
      <c r="Z68">
        <f t="shared" si="23"/>
        <v>0.0010272921845890237</v>
      </c>
      <c r="AC68">
        <f t="shared" si="24"/>
        <v>0.01362598895993683</v>
      </c>
      <c r="AF68">
        <v>11</v>
      </c>
      <c r="AK68">
        <f t="shared" si="28"/>
        <v>0.01536530424190119</v>
      </c>
      <c r="AL68" s="122">
        <f t="shared" si="25"/>
        <v>0.005619680006553454</v>
      </c>
      <c r="AM68" s="122">
        <f t="shared" si="26"/>
        <v>0.02061298626403807</v>
      </c>
      <c r="AN68" s="122">
        <f t="shared" si="27"/>
        <v>0</v>
      </c>
    </row>
    <row r="69" spans="23:40" ht="12.75">
      <c r="W69">
        <f t="shared" si="22"/>
        <v>0.002047862840814485</v>
      </c>
      <c r="Z69">
        <f t="shared" si="23"/>
        <v>0.006881822496440371</v>
      </c>
      <c r="AC69">
        <f t="shared" si="24"/>
        <v>0.0021205623064095014</v>
      </c>
      <c r="AF69">
        <v>12</v>
      </c>
      <c r="AK69">
        <f t="shared" si="28"/>
        <v>0.00432406747445957</v>
      </c>
      <c r="AL69" s="122">
        <f t="shared" si="25"/>
        <v>0.005619680006553454</v>
      </c>
      <c r="AM69" s="122">
        <f t="shared" si="26"/>
        <v>0.02061298626403807</v>
      </c>
      <c r="AN69" s="122">
        <f t="shared" si="27"/>
        <v>0</v>
      </c>
    </row>
    <row r="70" spans="23:40" ht="12.75">
      <c r="W70">
        <f t="shared" si="22"/>
        <v>0.001857363971901338</v>
      </c>
      <c r="Z70">
        <f t="shared" si="23"/>
        <v>0.005813953488371992</v>
      </c>
      <c r="AC70">
        <f t="shared" si="24"/>
        <v>0.0029306647605432112</v>
      </c>
      <c r="AF70">
        <v>13</v>
      </c>
      <c r="AK70">
        <f t="shared" si="28"/>
        <v>0.003112378237110913</v>
      </c>
      <c r="AL70" s="122">
        <f t="shared" si="25"/>
        <v>0.005619680006553454</v>
      </c>
      <c r="AM70" s="122">
        <f t="shared" si="26"/>
        <v>0.02061298626403807</v>
      </c>
      <c r="AN70" s="122">
        <f t="shared" si="27"/>
        <v>0</v>
      </c>
    </row>
    <row r="71" spans="29:40" ht="12.75">
      <c r="AC71" s="122"/>
      <c r="AF71">
        <v>14</v>
      </c>
      <c r="AK71">
        <f t="shared" si="28"/>
        <v>0.0010272921845890237</v>
      </c>
      <c r="AL71" s="122">
        <f t="shared" si="25"/>
        <v>0.005619680006553454</v>
      </c>
      <c r="AM71" s="122">
        <f t="shared" si="26"/>
        <v>0.02061298626403807</v>
      </c>
      <c r="AN71" s="122">
        <f t="shared" si="27"/>
        <v>0</v>
      </c>
    </row>
    <row r="72" spans="29:40" ht="12.75">
      <c r="AC72" s="122"/>
      <c r="AF72">
        <v>15</v>
      </c>
      <c r="AK72">
        <f t="shared" si="28"/>
        <v>0.006881822496440371</v>
      </c>
      <c r="AL72" s="122">
        <f t="shared" si="25"/>
        <v>0.005619680006553454</v>
      </c>
      <c r="AM72" s="122">
        <f t="shared" si="26"/>
        <v>0.02061298626403807</v>
      </c>
      <c r="AN72" s="122">
        <f t="shared" si="27"/>
        <v>0</v>
      </c>
    </row>
    <row r="73" spans="29:40" ht="12.75">
      <c r="AC73" s="122"/>
      <c r="AF73">
        <v>16</v>
      </c>
      <c r="AK73">
        <f t="shared" si="28"/>
        <v>0.005813953488371992</v>
      </c>
      <c r="AL73" s="122">
        <f t="shared" si="25"/>
        <v>0.005619680006553454</v>
      </c>
      <c r="AM73" s="122">
        <f t="shared" si="26"/>
        <v>0.02061298626403807</v>
      </c>
      <c r="AN73" s="122">
        <f t="shared" si="27"/>
        <v>0</v>
      </c>
    </row>
    <row r="74" spans="32:44" ht="12.75">
      <c r="AF74">
        <v>17</v>
      </c>
      <c r="AK74" s="122"/>
      <c r="AL74" s="122"/>
      <c r="AM74" s="122"/>
      <c r="AN74" s="122"/>
      <c r="AO74" t="e">
        <f>#REF!</f>
        <v>#REF!</v>
      </c>
      <c r="AP74" s="122">
        <f aca="true" t="shared" si="29" ref="AP74:AP81">AD$58</f>
        <v>0.005436281922061394</v>
      </c>
      <c r="AQ74" s="122">
        <f aca="true" t="shared" si="30" ref="AQ74:AQ81">AD$59</f>
        <v>0.019940282090121192</v>
      </c>
      <c r="AR74" s="122">
        <f aca="true" t="shared" si="31" ref="AR74:AR81">AD$60</f>
        <v>0</v>
      </c>
    </row>
    <row r="75" spans="32:44" ht="12.75">
      <c r="AF75">
        <v>18</v>
      </c>
      <c r="AK75" s="122"/>
      <c r="AL75" s="122"/>
      <c r="AM75" s="122"/>
      <c r="AN75" s="122"/>
      <c r="AO75">
        <f aca="true" t="shared" si="32" ref="AO75:AO81">AC64</f>
        <v>9.464543454085206E-05</v>
      </c>
      <c r="AP75" s="122">
        <f t="shared" si="29"/>
        <v>0.005436281922061394</v>
      </c>
      <c r="AQ75" s="122">
        <f t="shared" si="30"/>
        <v>0.019940282090121192</v>
      </c>
      <c r="AR75" s="122">
        <f t="shared" si="31"/>
        <v>0</v>
      </c>
    </row>
    <row r="76" spans="32:44" ht="12.75">
      <c r="AF76">
        <v>19</v>
      </c>
      <c r="AO76">
        <f t="shared" si="32"/>
        <v>0.021817715121405346</v>
      </c>
      <c r="AP76" s="122">
        <f t="shared" si="29"/>
        <v>0.005436281922061394</v>
      </c>
      <c r="AQ76" s="122">
        <f t="shared" si="30"/>
        <v>0.019940282090121192</v>
      </c>
      <c r="AR76" s="122">
        <f t="shared" si="31"/>
        <v>0</v>
      </c>
    </row>
    <row r="77" spans="32:44" ht="12.75">
      <c r="AF77">
        <v>20</v>
      </c>
      <c r="AO77">
        <f t="shared" si="32"/>
        <v>0.0008578781812983993</v>
      </c>
      <c r="AP77" s="122">
        <f t="shared" si="29"/>
        <v>0.005436281922061394</v>
      </c>
      <c r="AQ77" s="122">
        <f t="shared" si="30"/>
        <v>0.019940282090121192</v>
      </c>
      <c r="AR77" s="122">
        <f t="shared" si="31"/>
        <v>0</v>
      </c>
    </row>
    <row r="78" spans="32:44" ht="12.75">
      <c r="AF78">
        <v>21</v>
      </c>
      <c r="AO78">
        <f t="shared" si="32"/>
        <v>0.00112000762558373</v>
      </c>
      <c r="AP78" s="122">
        <f t="shared" si="29"/>
        <v>0.005436281922061394</v>
      </c>
      <c r="AQ78" s="122">
        <f t="shared" si="30"/>
        <v>0.019940282090121192</v>
      </c>
      <c r="AR78" s="122">
        <f t="shared" si="31"/>
        <v>0</v>
      </c>
    </row>
    <row r="79" spans="32:44" ht="12.75">
      <c r="AF79">
        <v>22</v>
      </c>
      <c r="AO79">
        <f t="shared" si="32"/>
        <v>0.01362598895993683</v>
      </c>
      <c r="AP79" s="122">
        <f t="shared" si="29"/>
        <v>0.005436281922061394</v>
      </c>
      <c r="AQ79" s="122">
        <f t="shared" si="30"/>
        <v>0.019940282090121192</v>
      </c>
      <c r="AR79" s="122">
        <f t="shared" si="31"/>
        <v>0</v>
      </c>
    </row>
    <row r="80" spans="32:44" ht="12.75">
      <c r="AF80">
        <v>23</v>
      </c>
      <c r="AO80">
        <f t="shared" si="32"/>
        <v>0.0021205623064095014</v>
      </c>
      <c r="AP80" s="122">
        <f t="shared" si="29"/>
        <v>0.005436281922061394</v>
      </c>
      <c r="AQ80" s="122">
        <f t="shared" si="30"/>
        <v>0.019940282090121192</v>
      </c>
      <c r="AR80" s="122">
        <f t="shared" si="31"/>
        <v>0</v>
      </c>
    </row>
    <row r="81" spans="32:44" ht="12.75">
      <c r="AF81">
        <v>24</v>
      </c>
      <c r="AO81">
        <f t="shared" si="32"/>
        <v>0.0029306647605432112</v>
      </c>
      <c r="AP81" s="122">
        <f t="shared" si="29"/>
        <v>0.005436281922061394</v>
      </c>
      <c r="AQ81" s="122">
        <f t="shared" si="30"/>
        <v>0.019940282090121192</v>
      </c>
      <c r="AR81" s="122">
        <f t="shared" si="31"/>
        <v>0</v>
      </c>
    </row>
    <row r="82" spans="41:44" ht="12.75">
      <c r="AO82" s="122"/>
      <c r="AP82" s="122"/>
      <c r="AQ82" s="122"/>
      <c r="AR82" s="122"/>
    </row>
    <row r="83" spans="41:44" ht="12.75">
      <c r="AO83" s="122"/>
      <c r="AP83" s="122"/>
      <c r="AQ83" s="122"/>
      <c r="AR83" s="122"/>
    </row>
    <row r="84" spans="41:44" ht="12.75">
      <c r="AO84" s="122"/>
      <c r="AP84" s="122"/>
      <c r="AQ84" s="122"/>
      <c r="AR84" s="122"/>
    </row>
  </sheetData>
  <sheetProtection/>
  <mergeCells count="8">
    <mergeCell ref="N20:P20"/>
    <mergeCell ref="B1:G1"/>
    <mergeCell ref="B14:D14"/>
    <mergeCell ref="B15:D15"/>
    <mergeCell ref="R2:T2"/>
    <mergeCell ref="N2:P2"/>
    <mergeCell ref="N11:P11"/>
    <mergeCell ref="R20:T20"/>
  </mergeCells>
  <printOptions/>
  <pageMargins left="0.7" right="0.7" top="0.75" bottom="0.75" header="0.3" footer="0.3"/>
  <pageSetup orientation="portrait" paperSize="9"/>
  <ignoredErrors>
    <ignoredError sqref="X6:AD7 AI4:AR6 AI24:AN24 AI22:AN22 AP22:AR22 AI23:AN23 AP23:AR23 AP24:AR24 X29:AD43 AI28:AR54 W63:AC70 X58:AD59 AG58:AS81 AI13:AR14 AI7:AJ7 AL7:AR7 AI8:AJ8 AL8:AR8 AI9:AJ9 AL9:AR9 AI10:AN10 AP10:AR10 AI11:AN11 AP11:AR11 AI12:AN12 AP12:AR12 AI16:AR21 AI15:AK15 AM15:AO15 AQ15:AR1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AB24" sqref="AB24"/>
    </sheetView>
  </sheetViews>
  <sheetFormatPr defaultColWidth="9.140625" defaultRowHeight="12.75"/>
  <cols>
    <col min="1" max="1" width="5.8515625" style="0" bestFit="1" customWidth="1"/>
    <col min="2" max="2" width="5.28125" style="0" bestFit="1" customWidth="1"/>
    <col min="3" max="3" width="3.7109375" style="0" customWidth="1"/>
    <col min="4" max="4" width="5.8515625" style="0" bestFit="1" customWidth="1"/>
    <col min="5" max="5" width="5.28125" style="0" customWidth="1"/>
    <col min="6" max="6" width="3.7109375" style="0" customWidth="1"/>
    <col min="7" max="7" width="6.00390625" style="0" customWidth="1"/>
    <col min="8" max="8" width="5.28125" style="0" bestFit="1" customWidth="1"/>
    <col min="9" max="9" width="3.7109375" style="0" customWidth="1"/>
    <col min="10" max="10" width="6.00390625" style="0" bestFit="1" customWidth="1"/>
    <col min="11" max="11" width="5.28125" style="0" bestFit="1" customWidth="1"/>
    <col min="12" max="12" width="3.7109375" style="0" customWidth="1"/>
    <col min="13" max="13" width="6.00390625" style="0" bestFit="1" customWidth="1"/>
    <col min="14" max="14" width="5.28125" style="0" bestFit="1" customWidth="1"/>
    <col min="15" max="15" width="3.7109375" style="0" customWidth="1"/>
    <col min="16" max="16" width="6.00390625" style="0" bestFit="1" customWidth="1"/>
    <col min="17" max="17" width="5.28125" style="0" bestFit="1" customWidth="1"/>
    <col min="18" max="18" width="3.7109375" style="0" customWidth="1"/>
    <col min="19" max="19" width="6.00390625" style="0" bestFit="1" customWidth="1"/>
    <col min="20" max="20" width="5.28125" style="0" bestFit="1" customWidth="1"/>
    <col min="21" max="21" width="3.7109375" style="0" customWidth="1"/>
    <col min="22" max="22" width="6.00390625" style="0" bestFit="1" customWidth="1"/>
    <col min="23" max="23" width="5.28125" style="0" bestFit="1" customWidth="1"/>
    <col min="24" max="24" width="3.7109375" style="0" customWidth="1"/>
    <col min="25" max="25" width="6.00390625" style="0" bestFit="1" customWidth="1"/>
    <col min="26" max="26" width="5.28125" style="0" bestFit="1" customWidth="1"/>
    <col min="27" max="27" width="3.7109375" style="0" customWidth="1"/>
    <col min="28" max="28" width="5.28125" style="0" bestFit="1" customWidth="1"/>
    <col min="29" max="29" width="17.57421875" style="0" bestFit="1" customWidth="1"/>
    <col min="30" max="30" width="17.57421875" style="0" customWidth="1"/>
    <col min="31" max="31" width="6.421875" style="0" customWidth="1"/>
  </cols>
  <sheetData>
    <row r="1" spans="1:44" ht="12.75">
      <c r="A1" s="67" t="s">
        <v>240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168" t="s">
        <v>130</v>
      </c>
      <c r="B2" s="168" t="s">
        <v>203</v>
      </c>
      <c r="C2" s="67"/>
      <c r="D2" s="168" t="s">
        <v>130</v>
      </c>
      <c r="E2" s="168" t="s">
        <v>203</v>
      </c>
      <c r="F2" s="67"/>
      <c r="G2" s="168" t="s">
        <v>130</v>
      </c>
      <c r="H2" s="168" t="s">
        <v>203</v>
      </c>
      <c r="I2" s="67"/>
      <c r="J2" s="168" t="s">
        <v>130</v>
      </c>
      <c r="K2" s="168" t="s">
        <v>203</v>
      </c>
      <c r="L2" s="67"/>
      <c r="M2" s="168" t="s">
        <v>130</v>
      </c>
      <c r="N2" s="168" t="s">
        <v>203</v>
      </c>
      <c r="O2" s="67"/>
      <c r="P2" s="168" t="s">
        <v>130</v>
      </c>
      <c r="Q2" s="168" t="s">
        <v>203</v>
      </c>
      <c r="R2" s="67"/>
      <c r="S2" s="168" t="s">
        <v>130</v>
      </c>
      <c r="T2" s="168" t="s">
        <v>203</v>
      </c>
      <c r="U2" s="67"/>
      <c r="V2" s="168" t="s">
        <v>130</v>
      </c>
      <c r="W2" s="168" t="s">
        <v>203</v>
      </c>
      <c r="X2" s="67"/>
      <c r="Y2" s="168" t="s">
        <v>130</v>
      </c>
      <c r="Z2" s="168" t="s">
        <v>203</v>
      </c>
      <c r="AC2" t="s">
        <v>655</v>
      </c>
      <c r="AD2" t="s">
        <v>276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>
      <c r="A3" s="66" t="s">
        <v>335</v>
      </c>
      <c r="B3" s="2"/>
      <c r="C3" s="2"/>
      <c r="D3" s="66" t="s">
        <v>345</v>
      </c>
      <c r="E3" s="2"/>
      <c r="F3" s="2"/>
      <c r="G3" s="66" t="s">
        <v>354</v>
      </c>
      <c r="H3" s="2"/>
      <c r="I3" s="2"/>
      <c r="J3" s="66" t="s">
        <v>363</v>
      </c>
      <c r="K3" s="2"/>
      <c r="L3" s="2"/>
      <c r="M3" s="66" t="s">
        <v>408</v>
      </c>
      <c r="N3" s="2"/>
      <c r="O3" s="2"/>
      <c r="P3" s="66" t="s">
        <v>409</v>
      </c>
      <c r="Q3" s="2"/>
      <c r="R3" s="2"/>
      <c r="S3" s="66" t="s">
        <v>410</v>
      </c>
      <c r="T3" s="2"/>
      <c r="U3" s="2"/>
      <c r="V3" s="66" t="s">
        <v>411</v>
      </c>
      <c r="W3" s="2"/>
      <c r="X3" s="2"/>
      <c r="Y3" s="66" t="s">
        <v>412</v>
      </c>
      <c r="Z3" s="2"/>
      <c r="AB3" t="s">
        <v>646</v>
      </c>
      <c r="AC3" t="s">
        <v>656</v>
      </c>
      <c r="AD3" t="s">
        <v>665</v>
      </c>
      <c r="AE3" s="6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.75">
      <c r="A4" s="66" t="s">
        <v>336</v>
      </c>
      <c r="B4" s="2"/>
      <c r="C4" s="2"/>
      <c r="D4" s="66" t="s">
        <v>346</v>
      </c>
      <c r="E4" s="2"/>
      <c r="F4" s="2"/>
      <c r="G4" s="66" t="s">
        <v>355</v>
      </c>
      <c r="H4" s="2"/>
      <c r="I4" s="2"/>
      <c r="J4" s="66" t="s">
        <v>364</v>
      </c>
      <c r="K4" s="2"/>
      <c r="L4" s="2"/>
      <c r="M4" s="66" t="s">
        <v>413</v>
      </c>
      <c r="N4" s="2"/>
      <c r="O4" s="2"/>
      <c r="P4" s="66" t="s">
        <v>414</v>
      </c>
      <c r="Q4" s="2"/>
      <c r="R4" s="2"/>
      <c r="S4" s="66" t="s">
        <v>415</v>
      </c>
      <c r="T4" s="2"/>
      <c r="U4" s="2"/>
      <c r="V4" s="66" t="s">
        <v>416</v>
      </c>
      <c r="W4" s="2"/>
      <c r="X4" s="2"/>
      <c r="Y4" s="66" t="s">
        <v>417</v>
      </c>
      <c r="Z4" s="2"/>
      <c r="AB4" t="s">
        <v>647</v>
      </c>
      <c r="AC4" t="s">
        <v>657</v>
      </c>
      <c r="AD4" t="s">
        <v>664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66" t="s">
        <v>337</v>
      </c>
      <c r="B5" s="2"/>
      <c r="C5" s="2"/>
      <c r="D5" s="66" t="s">
        <v>347</v>
      </c>
      <c r="E5" s="2"/>
      <c r="F5" s="2"/>
      <c r="G5" s="66" t="s">
        <v>356</v>
      </c>
      <c r="H5" s="2"/>
      <c r="I5" s="2"/>
      <c r="J5" s="66" t="s">
        <v>365</v>
      </c>
      <c r="K5" s="2"/>
      <c r="L5" s="2"/>
      <c r="M5" s="66" t="s">
        <v>418</v>
      </c>
      <c r="N5" s="2"/>
      <c r="O5" s="2"/>
      <c r="P5" s="66" t="s">
        <v>419</v>
      </c>
      <c r="Q5" s="2"/>
      <c r="R5" s="2"/>
      <c r="S5" s="66" t="s">
        <v>420</v>
      </c>
      <c r="T5" s="2"/>
      <c r="U5" s="2"/>
      <c r="V5" s="66" t="s">
        <v>421</v>
      </c>
      <c r="W5" s="2"/>
      <c r="X5" s="2"/>
      <c r="Y5" s="66" t="s">
        <v>422</v>
      </c>
      <c r="Z5" s="2"/>
      <c r="AB5" t="s">
        <v>648</v>
      </c>
      <c r="AC5" t="s">
        <v>659</v>
      </c>
      <c r="AD5" t="s">
        <v>666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2.75">
      <c r="A6" s="66" t="s">
        <v>338</v>
      </c>
      <c r="B6" s="2"/>
      <c r="C6" s="2"/>
      <c r="D6" s="66" t="s">
        <v>348</v>
      </c>
      <c r="E6" s="2"/>
      <c r="F6" s="2"/>
      <c r="G6" s="66" t="s">
        <v>357</v>
      </c>
      <c r="H6" s="2"/>
      <c r="I6" s="2"/>
      <c r="J6" s="66" t="s">
        <v>366</v>
      </c>
      <c r="K6" s="2"/>
      <c r="L6" s="2"/>
      <c r="M6" s="66" t="s">
        <v>423</v>
      </c>
      <c r="N6" s="2"/>
      <c r="O6" s="2"/>
      <c r="P6" s="66" t="s">
        <v>424</v>
      </c>
      <c r="Q6" s="2"/>
      <c r="R6" s="2"/>
      <c r="S6" s="66" t="s">
        <v>425</v>
      </c>
      <c r="T6" s="2"/>
      <c r="U6" s="2"/>
      <c r="V6" s="66" t="s">
        <v>426</v>
      </c>
      <c r="W6" s="2"/>
      <c r="X6" s="2"/>
      <c r="Y6" s="66" t="s">
        <v>427</v>
      </c>
      <c r="Z6" s="2"/>
      <c r="AB6" t="s">
        <v>649</v>
      </c>
      <c r="AC6" t="s">
        <v>686</v>
      </c>
      <c r="AD6" t="s">
        <v>668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.75">
      <c r="A7" s="66" t="s">
        <v>339</v>
      </c>
      <c r="B7" s="2"/>
      <c r="C7" s="2"/>
      <c r="D7" s="66" t="s">
        <v>349</v>
      </c>
      <c r="E7" s="2"/>
      <c r="F7" s="2"/>
      <c r="G7" s="66" t="s">
        <v>358</v>
      </c>
      <c r="H7" s="2"/>
      <c r="I7" s="2"/>
      <c r="J7" s="66" t="s">
        <v>367</v>
      </c>
      <c r="K7" s="2"/>
      <c r="L7" s="2"/>
      <c r="M7" s="66" t="s">
        <v>428</v>
      </c>
      <c r="N7" s="2"/>
      <c r="O7" s="2"/>
      <c r="P7" s="66" t="s">
        <v>429</v>
      </c>
      <c r="Q7" s="2"/>
      <c r="R7" s="2"/>
      <c r="S7" s="66" t="s">
        <v>430</v>
      </c>
      <c r="T7" s="2"/>
      <c r="U7" s="2"/>
      <c r="V7" s="66" t="s">
        <v>431</v>
      </c>
      <c r="W7" s="2"/>
      <c r="X7" s="2"/>
      <c r="Y7" s="66" t="s">
        <v>432</v>
      </c>
      <c r="Z7" s="2"/>
      <c r="AB7" t="s">
        <v>650</v>
      </c>
      <c r="AC7" t="s">
        <v>685</v>
      </c>
      <c r="AD7" t="s">
        <v>670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.75">
      <c r="A8" s="66" t="s">
        <v>340</v>
      </c>
      <c r="B8" s="2"/>
      <c r="C8" s="2"/>
      <c r="D8" s="66" t="s">
        <v>350</v>
      </c>
      <c r="E8" s="2"/>
      <c r="F8" s="2"/>
      <c r="G8" s="66" t="s">
        <v>359</v>
      </c>
      <c r="H8" s="2"/>
      <c r="I8" s="2"/>
      <c r="J8" s="66" t="s">
        <v>368</v>
      </c>
      <c r="K8" s="2"/>
      <c r="L8" s="2"/>
      <c r="M8" s="66" t="s">
        <v>433</v>
      </c>
      <c r="N8" s="2"/>
      <c r="O8" s="2"/>
      <c r="P8" s="66" t="s">
        <v>434</v>
      </c>
      <c r="Q8" s="2"/>
      <c r="R8" s="2"/>
      <c r="S8" s="66" t="s">
        <v>435</v>
      </c>
      <c r="T8" s="2"/>
      <c r="U8" s="2"/>
      <c r="V8" s="66" t="s">
        <v>436</v>
      </c>
      <c r="W8" s="2"/>
      <c r="X8" s="2"/>
      <c r="Y8" s="66" t="s">
        <v>437</v>
      </c>
      <c r="Z8" s="2"/>
      <c r="AB8" t="s">
        <v>651</v>
      </c>
      <c r="AC8" t="s">
        <v>658</v>
      </c>
      <c r="AD8" t="s">
        <v>667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66" t="s">
        <v>341</v>
      </c>
      <c r="B9" s="2"/>
      <c r="C9" s="2"/>
      <c r="D9" s="66" t="s">
        <v>351</v>
      </c>
      <c r="E9" s="2"/>
      <c r="F9" s="2"/>
      <c r="G9" s="66" t="s">
        <v>360</v>
      </c>
      <c r="H9" s="2"/>
      <c r="I9" s="2"/>
      <c r="J9" s="66" t="s">
        <v>369</v>
      </c>
      <c r="K9" s="2"/>
      <c r="L9" s="2"/>
      <c r="M9" s="66" t="s">
        <v>438</v>
      </c>
      <c r="N9" s="2"/>
      <c r="O9" s="2"/>
      <c r="P9" s="66" t="s">
        <v>439</v>
      </c>
      <c r="Q9" s="2"/>
      <c r="R9" s="2"/>
      <c r="S9" s="66" t="s">
        <v>440</v>
      </c>
      <c r="T9" s="2"/>
      <c r="U9" s="2"/>
      <c r="V9" s="66" t="s">
        <v>441</v>
      </c>
      <c r="W9" s="2"/>
      <c r="X9" s="2"/>
      <c r="Y9" s="66" t="s">
        <v>442</v>
      </c>
      <c r="Z9" s="2"/>
      <c r="AB9" t="s">
        <v>652</v>
      </c>
      <c r="AC9" t="s">
        <v>660</v>
      </c>
      <c r="AD9" t="s">
        <v>669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.75">
      <c r="A10" s="66" t="s">
        <v>342</v>
      </c>
      <c r="B10" s="2"/>
      <c r="C10" s="2"/>
      <c r="D10" s="66" t="s">
        <v>352</v>
      </c>
      <c r="E10" s="2"/>
      <c r="F10" s="2"/>
      <c r="G10" s="66" t="s">
        <v>361</v>
      </c>
      <c r="H10" s="2"/>
      <c r="I10" s="2"/>
      <c r="J10" s="66" t="s">
        <v>370</v>
      </c>
      <c r="K10" s="2"/>
      <c r="L10" s="2"/>
      <c r="M10" s="66" t="s">
        <v>443</v>
      </c>
      <c r="N10" s="2"/>
      <c r="O10" s="2"/>
      <c r="P10" s="66" t="s">
        <v>444</v>
      </c>
      <c r="Q10" s="2"/>
      <c r="R10" s="2"/>
      <c r="S10" s="66" t="s">
        <v>445</v>
      </c>
      <c r="T10" s="2"/>
      <c r="U10" s="2"/>
      <c r="V10" s="66" t="s">
        <v>446</v>
      </c>
      <c r="W10" s="2"/>
      <c r="X10" s="2"/>
      <c r="Y10" s="66" t="s">
        <v>447</v>
      </c>
      <c r="Z10" s="2"/>
      <c r="AB10" t="s">
        <v>653</v>
      </c>
      <c r="AC10" t="s">
        <v>662</v>
      </c>
      <c r="AD10" t="s">
        <v>671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.75">
      <c r="A11" s="66" t="s">
        <v>343</v>
      </c>
      <c r="B11" s="2"/>
      <c r="C11" s="2"/>
      <c r="D11" s="66" t="s">
        <v>353</v>
      </c>
      <c r="E11" s="2"/>
      <c r="F11" s="2"/>
      <c r="G11" s="66" t="s">
        <v>362</v>
      </c>
      <c r="H11" s="2"/>
      <c r="I11" s="2"/>
      <c r="J11" s="66" t="s">
        <v>371</v>
      </c>
      <c r="K11" s="2"/>
      <c r="L11" s="2"/>
      <c r="M11" s="66" t="s">
        <v>448</v>
      </c>
      <c r="N11" s="2"/>
      <c r="O11" s="2"/>
      <c r="P11" s="66" t="s">
        <v>449</v>
      </c>
      <c r="Q11" s="2"/>
      <c r="R11" s="2"/>
      <c r="S11" s="66" t="s">
        <v>450</v>
      </c>
      <c r="T11" s="2"/>
      <c r="U11" s="2"/>
      <c r="V11" s="66" t="s">
        <v>451</v>
      </c>
      <c r="W11" s="2"/>
      <c r="X11" s="2"/>
      <c r="Y11" s="66" t="s">
        <v>452</v>
      </c>
      <c r="Z11" s="2"/>
      <c r="AB11" t="s">
        <v>654</v>
      </c>
      <c r="AC11" t="s">
        <v>661</v>
      </c>
      <c r="AD11" s="67" t="s">
        <v>703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66" t="s">
        <v>131</v>
      </c>
      <c r="B12" s="2"/>
      <c r="C12" s="2"/>
      <c r="D12" s="66" t="s">
        <v>167</v>
      </c>
      <c r="E12" s="2"/>
      <c r="F12" s="2"/>
      <c r="G12" s="66" t="s">
        <v>204</v>
      </c>
      <c r="H12" s="2"/>
      <c r="I12" s="2"/>
      <c r="J12" s="66" t="s">
        <v>372</v>
      </c>
      <c r="K12" s="2"/>
      <c r="L12" s="2"/>
      <c r="M12" s="66" t="s">
        <v>453</v>
      </c>
      <c r="N12" s="2"/>
      <c r="O12" s="2"/>
      <c r="P12" s="66" t="s">
        <v>454</v>
      </c>
      <c r="Q12" s="2"/>
      <c r="R12" s="2"/>
      <c r="S12" s="66" t="s">
        <v>455</v>
      </c>
      <c r="T12" s="2"/>
      <c r="U12" s="2"/>
      <c r="V12" s="66" t="s">
        <v>456</v>
      </c>
      <c r="W12" s="2"/>
      <c r="X12" s="2"/>
      <c r="Y12" s="66" t="s">
        <v>457</v>
      </c>
      <c r="Z12" s="2"/>
      <c r="AB12" t="s">
        <v>203</v>
      </c>
      <c r="AC12">
        <v>8</v>
      </c>
      <c r="AD12">
        <v>8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66" t="s">
        <v>132</v>
      </c>
      <c r="B13" s="2"/>
      <c r="C13" s="2"/>
      <c r="D13" s="66" t="s">
        <v>168</v>
      </c>
      <c r="E13" s="2"/>
      <c r="F13" s="2"/>
      <c r="G13" s="66" t="s">
        <v>205</v>
      </c>
      <c r="H13" s="2"/>
      <c r="I13" s="2"/>
      <c r="J13" s="66" t="s">
        <v>373</v>
      </c>
      <c r="K13" s="2"/>
      <c r="L13" s="2"/>
      <c r="M13" s="66" t="s">
        <v>458</v>
      </c>
      <c r="N13" s="2"/>
      <c r="O13" s="2"/>
      <c r="P13" s="66" t="s">
        <v>459</v>
      </c>
      <c r="Q13" s="2"/>
      <c r="R13" s="2"/>
      <c r="S13" s="66" t="s">
        <v>460</v>
      </c>
      <c r="T13" s="2"/>
      <c r="U13" s="2"/>
      <c r="V13" s="66" t="s">
        <v>461</v>
      </c>
      <c r="W13" s="2"/>
      <c r="X13" s="2"/>
      <c r="Y13" s="66" t="s">
        <v>462</v>
      </c>
      <c r="Z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66" t="s">
        <v>133</v>
      </c>
      <c r="B14" s="2"/>
      <c r="C14" s="2"/>
      <c r="D14" s="66" t="s">
        <v>169</v>
      </c>
      <c r="E14" s="2"/>
      <c r="F14" s="2"/>
      <c r="G14" s="66" t="s">
        <v>206</v>
      </c>
      <c r="H14" s="2"/>
      <c r="I14" s="2"/>
      <c r="J14" s="66" t="s">
        <v>374</v>
      </c>
      <c r="K14" s="2"/>
      <c r="L14" s="2"/>
      <c r="M14" s="66" t="s">
        <v>463</v>
      </c>
      <c r="N14" s="2"/>
      <c r="O14" s="2"/>
      <c r="P14" s="66" t="s">
        <v>464</v>
      </c>
      <c r="Q14" s="2"/>
      <c r="R14" s="2"/>
      <c r="S14" s="66" t="s">
        <v>465</v>
      </c>
      <c r="T14" s="2"/>
      <c r="U14" s="2"/>
      <c r="V14" s="66" t="s">
        <v>466</v>
      </c>
      <c r="W14" s="2"/>
      <c r="X14" s="2"/>
      <c r="Y14" s="66" t="s">
        <v>467</v>
      </c>
      <c r="Z14" s="2"/>
      <c r="AB14" s="6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66" t="s">
        <v>134</v>
      </c>
      <c r="B15" s="2"/>
      <c r="C15" s="2"/>
      <c r="D15" s="66" t="s">
        <v>170</v>
      </c>
      <c r="E15" s="2"/>
      <c r="F15" s="2"/>
      <c r="G15" s="66" t="s">
        <v>207</v>
      </c>
      <c r="H15" s="2"/>
      <c r="I15" s="2"/>
      <c r="J15" s="66" t="s">
        <v>375</v>
      </c>
      <c r="K15" s="2"/>
      <c r="L15" s="2"/>
      <c r="M15" s="66" t="s">
        <v>468</v>
      </c>
      <c r="N15" s="2"/>
      <c r="O15" s="2"/>
      <c r="P15" s="66" t="s">
        <v>469</v>
      </c>
      <c r="Q15" s="2"/>
      <c r="R15" s="2"/>
      <c r="S15" s="66" t="s">
        <v>470</v>
      </c>
      <c r="T15" s="2"/>
      <c r="U15" s="2"/>
      <c r="V15" s="66" t="s">
        <v>471</v>
      </c>
      <c r="W15" s="2"/>
      <c r="X15" s="2"/>
      <c r="Y15" s="66" t="s">
        <v>472</v>
      </c>
      <c r="Z15" s="2"/>
      <c r="AB15" s="66" t="s">
        <v>702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2.75">
      <c r="A16" s="66" t="s">
        <v>135</v>
      </c>
      <c r="B16" s="2"/>
      <c r="C16" s="2"/>
      <c r="D16" s="66" t="s">
        <v>171</v>
      </c>
      <c r="E16" s="2"/>
      <c r="F16" s="2"/>
      <c r="G16" s="66" t="s">
        <v>208</v>
      </c>
      <c r="H16" s="2"/>
      <c r="I16" s="2"/>
      <c r="J16" s="66" t="s">
        <v>376</v>
      </c>
      <c r="K16" s="2"/>
      <c r="L16" s="2"/>
      <c r="M16" s="66" t="s">
        <v>473</v>
      </c>
      <c r="N16" s="2"/>
      <c r="O16" s="2"/>
      <c r="P16" s="66" t="s">
        <v>474</v>
      </c>
      <c r="Q16" s="2"/>
      <c r="R16" s="2"/>
      <c r="S16" s="66" t="s">
        <v>475</v>
      </c>
      <c r="T16" s="2"/>
      <c r="U16" s="2"/>
      <c r="V16" s="66" t="s">
        <v>476</v>
      </c>
      <c r="W16" s="2"/>
      <c r="X16" s="2"/>
      <c r="Y16" s="66" t="s">
        <v>477</v>
      </c>
      <c r="Z16" s="2"/>
      <c r="AB16" s="6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s="66" t="s">
        <v>136</v>
      </c>
      <c r="B17" s="2"/>
      <c r="C17" s="2"/>
      <c r="D17" s="66" t="s">
        <v>172</v>
      </c>
      <c r="E17" s="2"/>
      <c r="F17" s="2"/>
      <c r="G17" s="66" t="s">
        <v>209</v>
      </c>
      <c r="H17" s="2"/>
      <c r="I17" s="2"/>
      <c r="J17" s="66" t="s">
        <v>377</v>
      </c>
      <c r="K17" s="2"/>
      <c r="L17" s="2"/>
      <c r="M17" s="66" t="s">
        <v>478</v>
      </c>
      <c r="N17" s="2"/>
      <c r="O17" s="2"/>
      <c r="P17" s="66" t="s">
        <v>479</v>
      </c>
      <c r="Q17" s="2"/>
      <c r="R17" s="2"/>
      <c r="S17" s="66" t="s">
        <v>480</v>
      </c>
      <c r="T17" s="2"/>
      <c r="U17" s="2"/>
      <c r="V17" s="66" t="s">
        <v>481</v>
      </c>
      <c r="W17" s="2"/>
      <c r="X17" s="2"/>
      <c r="Y17" s="66" t="s">
        <v>482</v>
      </c>
      <c r="Z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26" ht="12.75">
      <c r="A18" s="66" t="s">
        <v>137</v>
      </c>
      <c r="B18" s="2"/>
      <c r="C18" s="2"/>
      <c r="D18" s="66" t="s">
        <v>173</v>
      </c>
      <c r="E18" s="2"/>
      <c r="F18" s="2"/>
      <c r="G18" s="66" t="s">
        <v>210</v>
      </c>
      <c r="H18" s="2"/>
      <c r="I18" s="2"/>
      <c r="J18" s="66" t="s">
        <v>378</v>
      </c>
      <c r="K18" s="2"/>
      <c r="L18" s="2"/>
      <c r="M18" s="66" t="s">
        <v>483</v>
      </c>
      <c r="N18" s="2"/>
      <c r="O18" s="2"/>
      <c r="P18" s="66" t="s">
        <v>484</v>
      </c>
      <c r="Q18" s="2"/>
      <c r="R18" s="2"/>
      <c r="S18" s="66" t="s">
        <v>485</v>
      </c>
      <c r="T18" s="2"/>
      <c r="U18" s="2"/>
      <c r="V18" s="66" t="s">
        <v>486</v>
      </c>
      <c r="W18" s="2"/>
      <c r="X18" s="2"/>
      <c r="Y18" s="66" t="s">
        <v>487</v>
      </c>
      <c r="Z18" s="2"/>
    </row>
    <row r="19" spans="1:26" ht="12.75">
      <c r="A19" s="66" t="s">
        <v>138</v>
      </c>
      <c r="B19" s="2"/>
      <c r="C19" s="2"/>
      <c r="D19" s="66" t="s">
        <v>174</v>
      </c>
      <c r="E19" s="2"/>
      <c r="F19" s="2"/>
      <c r="G19" s="66" t="s">
        <v>211</v>
      </c>
      <c r="H19" s="2"/>
      <c r="I19" s="2"/>
      <c r="J19" s="66" t="s">
        <v>379</v>
      </c>
      <c r="K19" s="2"/>
      <c r="L19" s="2"/>
      <c r="M19" s="66" t="s">
        <v>488</v>
      </c>
      <c r="N19" s="2"/>
      <c r="O19" s="2"/>
      <c r="P19" s="66" t="s">
        <v>489</v>
      </c>
      <c r="Q19" s="2"/>
      <c r="R19" s="2"/>
      <c r="S19" s="66" t="s">
        <v>490</v>
      </c>
      <c r="T19" s="2"/>
      <c r="U19" s="2"/>
      <c r="V19" s="66" t="s">
        <v>491</v>
      </c>
      <c r="W19" s="2"/>
      <c r="X19" s="2"/>
      <c r="Y19" s="66" t="s">
        <v>492</v>
      </c>
      <c r="Z19" s="2"/>
    </row>
    <row r="20" spans="1:26" ht="12.75">
      <c r="A20" s="66" t="s">
        <v>139</v>
      </c>
      <c r="B20" s="2"/>
      <c r="C20" s="2"/>
      <c r="D20" s="66" t="s">
        <v>175</v>
      </c>
      <c r="E20" s="2"/>
      <c r="F20" s="2"/>
      <c r="G20" s="66" t="s">
        <v>212</v>
      </c>
      <c r="H20" s="2"/>
      <c r="I20" s="2"/>
      <c r="J20" s="66" t="s">
        <v>380</v>
      </c>
      <c r="K20" s="2"/>
      <c r="L20" s="2"/>
      <c r="M20" s="66" t="s">
        <v>493</v>
      </c>
      <c r="N20" s="2"/>
      <c r="O20" s="2"/>
      <c r="P20" s="66" t="s">
        <v>494</v>
      </c>
      <c r="Q20" s="2"/>
      <c r="R20" s="2"/>
      <c r="S20" s="66" t="s">
        <v>495</v>
      </c>
      <c r="T20" s="2"/>
      <c r="U20" s="2"/>
      <c r="V20" s="66" t="s">
        <v>496</v>
      </c>
      <c r="W20" s="2"/>
      <c r="X20" s="2"/>
      <c r="Y20" s="66" t="s">
        <v>497</v>
      </c>
      <c r="Z20" s="2"/>
    </row>
    <row r="21" spans="1:26" ht="12.75">
      <c r="A21" s="66" t="s">
        <v>140</v>
      </c>
      <c r="B21" s="2"/>
      <c r="C21" s="2"/>
      <c r="D21" s="66" t="s">
        <v>176</v>
      </c>
      <c r="E21" s="2"/>
      <c r="F21" s="2"/>
      <c r="G21" s="66" t="s">
        <v>213</v>
      </c>
      <c r="H21" s="2"/>
      <c r="I21" s="2"/>
      <c r="J21" s="66" t="s">
        <v>381</v>
      </c>
      <c r="K21" s="2"/>
      <c r="L21" s="2"/>
      <c r="M21" s="66" t="s">
        <v>498</v>
      </c>
      <c r="N21" s="2"/>
      <c r="O21" s="2"/>
      <c r="P21" s="66" t="s">
        <v>499</v>
      </c>
      <c r="Q21" s="2"/>
      <c r="R21" s="2"/>
      <c r="S21" s="66" t="s">
        <v>500</v>
      </c>
      <c r="T21" s="2"/>
      <c r="U21" s="2"/>
      <c r="V21" s="66" t="s">
        <v>501</v>
      </c>
      <c r="W21" s="2"/>
      <c r="X21" s="2"/>
      <c r="Y21" s="66" t="s">
        <v>502</v>
      </c>
      <c r="Z21" s="2"/>
    </row>
    <row r="22" spans="1:26" ht="12.75">
      <c r="A22" s="66" t="s">
        <v>141</v>
      </c>
      <c r="B22" s="2"/>
      <c r="C22" s="2"/>
      <c r="D22" s="66" t="s">
        <v>177</v>
      </c>
      <c r="E22" s="2"/>
      <c r="F22" s="2"/>
      <c r="G22" s="66" t="s">
        <v>214</v>
      </c>
      <c r="H22" s="2"/>
      <c r="I22" s="2"/>
      <c r="J22" s="66" t="s">
        <v>382</v>
      </c>
      <c r="K22" s="2"/>
      <c r="L22" s="2"/>
      <c r="M22" s="66" t="s">
        <v>503</v>
      </c>
      <c r="N22" s="2"/>
      <c r="O22" s="2"/>
      <c r="P22" s="66" t="s">
        <v>504</v>
      </c>
      <c r="Q22" s="2"/>
      <c r="R22" s="2"/>
      <c r="S22" s="66" t="s">
        <v>505</v>
      </c>
      <c r="T22" s="2"/>
      <c r="U22" s="2"/>
      <c r="V22" s="66" t="s">
        <v>506</v>
      </c>
      <c r="W22" s="2"/>
      <c r="X22" s="2"/>
      <c r="Y22" s="66" t="s">
        <v>507</v>
      </c>
      <c r="Z22" s="2"/>
    </row>
    <row r="23" spans="1:26" ht="12.75">
      <c r="A23" s="66" t="s">
        <v>142</v>
      </c>
      <c r="B23" s="2"/>
      <c r="C23" s="2"/>
      <c r="D23" s="66" t="s">
        <v>178</v>
      </c>
      <c r="E23" s="2"/>
      <c r="F23" s="2"/>
      <c r="G23" s="66" t="s">
        <v>215</v>
      </c>
      <c r="H23" s="2"/>
      <c r="I23" s="2"/>
      <c r="J23" s="66" t="s">
        <v>383</v>
      </c>
      <c r="K23" s="2"/>
      <c r="L23" s="2"/>
      <c r="M23" s="66" t="s">
        <v>508</v>
      </c>
      <c r="N23" s="2"/>
      <c r="O23" s="2"/>
      <c r="P23" s="66" t="s">
        <v>509</v>
      </c>
      <c r="Q23" s="2"/>
      <c r="R23" s="2"/>
      <c r="S23" s="66" t="s">
        <v>510</v>
      </c>
      <c r="T23" s="2"/>
      <c r="U23" s="2"/>
      <c r="V23" s="66" t="s">
        <v>511</v>
      </c>
      <c r="W23" s="2"/>
      <c r="X23" s="2"/>
      <c r="Y23" s="66" t="s">
        <v>512</v>
      </c>
      <c r="Z23" s="2"/>
    </row>
    <row r="24" spans="1:26" ht="12.75">
      <c r="A24" s="66" t="s">
        <v>143</v>
      </c>
      <c r="B24" s="2"/>
      <c r="C24" s="2"/>
      <c r="D24" s="66" t="s">
        <v>179</v>
      </c>
      <c r="E24" s="2"/>
      <c r="F24" s="2"/>
      <c r="G24" s="66" t="s">
        <v>216</v>
      </c>
      <c r="H24" s="2"/>
      <c r="I24" s="2"/>
      <c r="J24" s="66" t="s">
        <v>384</v>
      </c>
      <c r="K24" s="2"/>
      <c r="L24" s="2"/>
      <c r="M24" s="66" t="s">
        <v>513</v>
      </c>
      <c r="N24" s="2"/>
      <c r="O24" s="2"/>
      <c r="P24" s="66" t="s">
        <v>514</v>
      </c>
      <c r="Q24" s="2"/>
      <c r="R24" s="2"/>
      <c r="S24" s="66" t="s">
        <v>515</v>
      </c>
      <c r="T24" s="2"/>
      <c r="U24" s="2"/>
      <c r="V24" s="66" t="s">
        <v>516</v>
      </c>
      <c r="W24" s="2"/>
      <c r="X24" s="2"/>
      <c r="Y24" s="66" t="s">
        <v>517</v>
      </c>
      <c r="Z24" s="2"/>
    </row>
    <row r="25" spans="1:26" ht="12.75">
      <c r="A25" s="66" t="s">
        <v>144</v>
      </c>
      <c r="B25" s="2"/>
      <c r="C25" s="2"/>
      <c r="D25" s="66" t="s">
        <v>180</v>
      </c>
      <c r="E25" s="2"/>
      <c r="F25" s="2"/>
      <c r="G25" s="66" t="s">
        <v>217</v>
      </c>
      <c r="H25" s="2"/>
      <c r="I25" s="2"/>
      <c r="J25" s="66" t="s">
        <v>385</v>
      </c>
      <c r="K25" s="2"/>
      <c r="L25" s="2"/>
      <c r="M25" s="66" t="s">
        <v>518</v>
      </c>
      <c r="N25" s="2"/>
      <c r="O25" s="2"/>
      <c r="P25" s="66" t="s">
        <v>519</v>
      </c>
      <c r="Q25" s="2"/>
      <c r="R25" s="2"/>
      <c r="S25" s="66" t="s">
        <v>520</v>
      </c>
      <c r="T25" s="2"/>
      <c r="U25" s="2"/>
      <c r="V25" s="66" t="s">
        <v>521</v>
      </c>
      <c r="W25" s="2"/>
      <c r="X25" s="2"/>
      <c r="Y25" s="66" t="s">
        <v>522</v>
      </c>
      <c r="Z25" s="2"/>
    </row>
    <row r="26" spans="1:26" ht="12.75">
      <c r="A26" s="66" t="s">
        <v>145</v>
      </c>
      <c r="B26" s="2"/>
      <c r="C26" s="2"/>
      <c r="D26" s="66" t="s">
        <v>181</v>
      </c>
      <c r="E26" s="2"/>
      <c r="F26" s="2"/>
      <c r="G26" s="66" t="s">
        <v>218</v>
      </c>
      <c r="H26" s="2"/>
      <c r="I26" s="2"/>
      <c r="J26" s="66" t="s">
        <v>386</v>
      </c>
      <c r="K26" s="2"/>
      <c r="L26" s="2"/>
      <c r="M26" s="66" t="s">
        <v>523</v>
      </c>
      <c r="N26" s="2"/>
      <c r="O26" s="2"/>
      <c r="P26" s="66" t="s">
        <v>524</v>
      </c>
      <c r="Q26" s="2"/>
      <c r="R26" s="2"/>
      <c r="S26" s="66" t="s">
        <v>525</v>
      </c>
      <c r="T26" s="2" t="s">
        <v>645</v>
      </c>
      <c r="U26" s="2"/>
      <c r="V26" s="66" t="s">
        <v>526</v>
      </c>
      <c r="W26" s="2"/>
      <c r="X26" s="2"/>
      <c r="Y26" s="66" t="s">
        <v>527</v>
      </c>
      <c r="Z26" s="2"/>
    </row>
    <row r="27" spans="1:26" ht="12.75">
      <c r="A27" s="66" t="s">
        <v>146</v>
      </c>
      <c r="B27" s="2"/>
      <c r="C27" s="2"/>
      <c r="D27" s="66" t="s">
        <v>182</v>
      </c>
      <c r="E27" s="2"/>
      <c r="F27" s="2"/>
      <c r="G27" s="66" t="s">
        <v>219</v>
      </c>
      <c r="H27" s="2"/>
      <c r="I27" s="2"/>
      <c r="J27" s="66" t="s">
        <v>387</v>
      </c>
      <c r="K27" s="2"/>
      <c r="L27" s="2"/>
      <c r="M27" s="66" t="s">
        <v>528</v>
      </c>
      <c r="N27" s="2"/>
      <c r="O27" s="2"/>
      <c r="P27" s="66" t="s">
        <v>529</v>
      </c>
      <c r="Q27" s="2"/>
      <c r="R27" s="2"/>
      <c r="S27" s="66" t="s">
        <v>530</v>
      </c>
      <c r="T27" s="2"/>
      <c r="U27" s="2"/>
      <c r="V27" s="66" t="s">
        <v>531</v>
      </c>
      <c r="W27" s="2"/>
      <c r="X27" s="2"/>
      <c r="Y27" s="66" t="s">
        <v>532</v>
      </c>
      <c r="Z27" s="2"/>
    </row>
    <row r="28" spans="1:26" ht="12.75">
      <c r="A28" s="66" t="s">
        <v>147</v>
      </c>
      <c r="B28" s="2"/>
      <c r="C28" s="2"/>
      <c r="D28" s="66" t="s">
        <v>183</v>
      </c>
      <c r="E28" s="2"/>
      <c r="F28" s="2"/>
      <c r="G28" s="66" t="s">
        <v>220</v>
      </c>
      <c r="H28" s="2"/>
      <c r="I28" s="2"/>
      <c r="J28" s="66" t="s">
        <v>388</v>
      </c>
      <c r="K28" s="2"/>
      <c r="L28" s="2"/>
      <c r="M28" s="66" t="s">
        <v>533</v>
      </c>
      <c r="N28" s="2"/>
      <c r="O28" s="2"/>
      <c r="P28" s="66" t="s">
        <v>534</v>
      </c>
      <c r="Q28" s="2"/>
      <c r="R28" s="2"/>
      <c r="S28" s="66" t="s">
        <v>535</v>
      </c>
      <c r="T28" s="2"/>
      <c r="U28" s="2"/>
      <c r="V28" s="66" t="s">
        <v>536</v>
      </c>
      <c r="W28" s="2"/>
      <c r="X28" s="2"/>
      <c r="Y28" s="66" t="s">
        <v>537</v>
      </c>
      <c r="Z28" s="2"/>
    </row>
    <row r="29" spans="1:26" ht="12.75">
      <c r="A29" s="66" t="s">
        <v>148</v>
      </c>
      <c r="B29" s="2"/>
      <c r="C29" s="2"/>
      <c r="D29" s="66" t="s">
        <v>184</v>
      </c>
      <c r="E29" s="2"/>
      <c r="F29" s="2"/>
      <c r="G29" s="66" t="s">
        <v>221</v>
      </c>
      <c r="H29" s="2"/>
      <c r="I29" s="2"/>
      <c r="J29" s="66" t="s">
        <v>389</v>
      </c>
      <c r="K29" s="2"/>
      <c r="L29" s="2"/>
      <c r="M29" s="66" t="s">
        <v>538</v>
      </c>
      <c r="N29" s="2"/>
      <c r="O29" s="2"/>
      <c r="P29" s="66" t="s">
        <v>539</v>
      </c>
      <c r="Q29" s="2"/>
      <c r="R29" s="2"/>
      <c r="S29" s="66" t="s">
        <v>540</v>
      </c>
      <c r="T29" s="2"/>
      <c r="U29" s="2"/>
      <c r="V29" s="66" t="s">
        <v>541</v>
      </c>
      <c r="W29" s="2"/>
      <c r="X29" s="2"/>
      <c r="Y29" s="66" t="s">
        <v>542</v>
      </c>
      <c r="Z29" s="2"/>
    </row>
    <row r="30" spans="1:26" ht="12.75">
      <c r="A30" s="66" t="s">
        <v>149</v>
      </c>
      <c r="B30" s="2"/>
      <c r="C30" s="2"/>
      <c r="D30" s="66" t="s">
        <v>185</v>
      </c>
      <c r="E30" s="2"/>
      <c r="F30" s="2"/>
      <c r="G30" s="66" t="s">
        <v>222</v>
      </c>
      <c r="H30" s="2"/>
      <c r="I30" s="2"/>
      <c r="J30" s="66" t="s">
        <v>390</v>
      </c>
      <c r="K30" s="2"/>
      <c r="L30" s="2"/>
      <c r="M30" s="66" t="s">
        <v>543</v>
      </c>
      <c r="N30" s="2"/>
      <c r="O30" s="2"/>
      <c r="P30" s="66" t="s">
        <v>544</v>
      </c>
      <c r="Q30" s="2"/>
      <c r="R30" s="2"/>
      <c r="S30" s="66" t="s">
        <v>545</v>
      </c>
      <c r="T30" s="2"/>
      <c r="U30" s="2"/>
      <c r="V30" s="66" t="s">
        <v>546</v>
      </c>
      <c r="W30" s="2"/>
      <c r="X30" s="2"/>
      <c r="Y30" s="66" t="s">
        <v>547</v>
      </c>
      <c r="Z30" s="2"/>
    </row>
    <row r="31" spans="1:26" ht="12.75">
      <c r="A31" s="66" t="s">
        <v>150</v>
      </c>
      <c r="B31" s="2"/>
      <c r="C31" s="2"/>
      <c r="D31" s="66" t="s">
        <v>186</v>
      </c>
      <c r="E31" s="2"/>
      <c r="F31" s="2"/>
      <c r="G31" s="66" t="s">
        <v>223</v>
      </c>
      <c r="H31" s="2"/>
      <c r="I31" s="2"/>
      <c r="J31" s="66" t="s">
        <v>391</v>
      </c>
      <c r="K31" s="2"/>
      <c r="L31" s="2"/>
      <c r="M31" s="66" t="s">
        <v>548</v>
      </c>
      <c r="N31" s="2"/>
      <c r="O31" s="2"/>
      <c r="P31" s="66" t="s">
        <v>549</v>
      </c>
      <c r="Q31" s="2"/>
      <c r="R31" s="2"/>
      <c r="S31" s="66" t="s">
        <v>550</v>
      </c>
      <c r="T31" s="2"/>
      <c r="U31" s="2"/>
      <c r="V31" s="66" t="s">
        <v>551</v>
      </c>
      <c r="W31" s="2"/>
      <c r="X31" s="2"/>
      <c r="Y31" s="66" t="s">
        <v>552</v>
      </c>
      <c r="Z31" s="2"/>
    </row>
    <row r="32" spans="1:26" ht="12.75">
      <c r="A32" s="66" t="s">
        <v>151</v>
      </c>
      <c r="B32" s="2"/>
      <c r="C32" s="2"/>
      <c r="D32" s="66" t="s">
        <v>187</v>
      </c>
      <c r="E32" s="2"/>
      <c r="F32" s="2"/>
      <c r="G32" s="66" t="s">
        <v>224</v>
      </c>
      <c r="H32" s="2"/>
      <c r="I32" s="2"/>
      <c r="J32" s="66" t="s">
        <v>392</v>
      </c>
      <c r="K32" s="2"/>
      <c r="L32" s="2"/>
      <c r="M32" s="66" t="s">
        <v>553</v>
      </c>
      <c r="N32" s="2"/>
      <c r="O32" s="2"/>
      <c r="P32" s="66" t="s">
        <v>554</v>
      </c>
      <c r="Q32" s="2"/>
      <c r="R32" s="2"/>
      <c r="S32" s="66" t="s">
        <v>555</v>
      </c>
      <c r="T32" s="2"/>
      <c r="U32" s="2"/>
      <c r="V32" s="66" t="s">
        <v>556</v>
      </c>
      <c r="W32" s="2"/>
      <c r="X32" s="2"/>
      <c r="Y32" s="66" t="s">
        <v>557</v>
      </c>
      <c r="Z32" s="2"/>
    </row>
    <row r="33" spans="1:26" ht="12.75">
      <c r="A33" s="66" t="s">
        <v>152</v>
      </c>
      <c r="B33" s="2"/>
      <c r="C33" s="2"/>
      <c r="D33" s="66" t="s">
        <v>188</v>
      </c>
      <c r="E33" s="2"/>
      <c r="F33" s="2"/>
      <c r="G33" s="66" t="s">
        <v>225</v>
      </c>
      <c r="H33" s="2"/>
      <c r="I33" s="2"/>
      <c r="J33" s="66" t="s">
        <v>393</v>
      </c>
      <c r="K33" s="2"/>
      <c r="L33" s="2"/>
      <c r="M33" s="66" t="s">
        <v>558</v>
      </c>
      <c r="N33" s="2"/>
      <c r="O33" s="2"/>
      <c r="P33" s="66" t="s">
        <v>559</v>
      </c>
      <c r="Q33" s="2"/>
      <c r="R33" s="2"/>
      <c r="S33" s="66" t="s">
        <v>560</v>
      </c>
      <c r="T33" s="2"/>
      <c r="U33" s="2"/>
      <c r="V33" s="66" t="s">
        <v>561</v>
      </c>
      <c r="W33" s="2"/>
      <c r="X33" s="2"/>
      <c r="Y33" s="66" t="s">
        <v>562</v>
      </c>
      <c r="Z33" s="2"/>
    </row>
    <row r="34" spans="1:26" ht="12.75">
      <c r="A34" s="66" t="s">
        <v>153</v>
      </c>
      <c r="B34" s="2"/>
      <c r="C34" s="2"/>
      <c r="D34" s="66" t="s">
        <v>189</v>
      </c>
      <c r="E34" s="2"/>
      <c r="F34" s="2"/>
      <c r="G34" s="66" t="s">
        <v>226</v>
      </c>
      <c r="H34" s="2"/>
      <c r="I34" s="2"/>
      <c r="J34" s="66" t="s">
        <v>394</v>
      </c>
      <c r="K34" s="2"/>
      <c r="L34" s="2"/>
      <c r="M34" s="66" t="s">
        <v>563</v>
      </c>
      <c r="N34" s="2"/>
      <c r="O34" s="2"/>
      <c r="P34" s="66" t="s">
        <v>564</v>
      </c>
      <c r="Q34" s="2"/>
      <c r="R34" s="2"/>
      <c r="S34" s="66" t="s">
        <v>565</v>
      </c>
      <c r="T34" s="2"/>
      <c r="U34" s="2"/>
      <c r="V34" s="66" t="s">
        <v>566</v>
      </c>
      <c r="W34" s="2"/>
      <c r="X34" s="2"/>
      <c r="Y34" s="66" t="s">
        <v>567</v>
      </c>
      <c r="Z34" s="2"/>
    </row>
    <row r="35" spans="1:26" ht="12.75">
      <c r="A35" s="66" t="s">
        <v>154</v>
      </c>
      <c r="B35" s="2"/>
      <c r="C35" s="2"/>
      <c r="D35" s="66" t="s">
        <v>190</v>
      </c>
      <c r="E35" s="2"/>
      <c r="F35" s="2"/>
      <c r="G35" s="66" t="s">
        <v>227</v>
      </c>
      <c r="H35" s="2"/>
      <c r="I35" s="2"/>
      <c r="J35" s="66" t="s">
        <v>395</v>
      </c>
      <c r="K35" s="2"/>
      <c r="L35" s="2"/>
      <c r="M35" s="66" t="s">
        <v>568</v>
      </c>
      <c r="N35" s="2"/>
      <c r="O35" s="2"/>
      <c r="P35" s="66" t="s">
        <v>569</v>
      </c>
      <c r="Q35" s="2"/>
      <c r="R35" s="2"/>
      <c r="S35" s="66" t="s">
        <v>570</v>
      </c>
      <c r="T35" s="2"/>
      <c r="U35" s="2"/>
      <c r="V35" s="66" t="s">
        <v>571</v>
      </c>
      <c r="W35" s="2"/>
      <c r="X35" s="2"/>
      <c r="Y35" s="66" t="s">
        <v>572</v>
      </c>
      <c r="Z35" s="2"/>
    </row>
    <row r="36" spans="1:26" ht="12.75">
      <c r="A36" s="66" t="s">
        <v>155</v>
      </c>
      <c r="B36" s="2"/>
      <c r="C36" s="2"/>
      <c r="D36" s="66" t="s">
        <v>191</v>
      </c>
      <c r="E36" s="2"/>
      <c r="F36" s="2"/>
      <c r="G36" s="66" t="s">
        <v>228</v>
      </c>
      <c r="H36" s="2"/>
      <c r="I36" s="2"/>
      <c r="J36" s="66" t="s">
        <v>396</v>
      </c>
      <c r="K36" s="2"/>
      <c r="L36" s="2"/>
      <c r="M36" s="66" t="s">
        <v>573</v>
      </c>
      <c r="N36" s="2"/>
      <c r="O36" s="2"/>
      <c r="P36" s="66" t="s">
        <v>574</v>
      </c>
      <c r="Q36" s="2"/>
      <c r="R36" s="2"/>
      <c r="S36" s="66" t="s">
        <v>575</v>
      </c>
      <c r="T36" s="2"/>
      <c r="U36" s="2"/>
      <c r="V36" s="66" t="s">
        <v>576</v>
      </c>
      <c r="W36" s="2"/>
      <c r="X36" s="2"/>
      <c r="Y36" s="66" t="s">
        <v>577</v>
      </c>
      <c r="Z36" s="2"/>
    </row>
    <row r="37" spans="1:26" ht="12.75">
      <c r="A37" s="66" t="s">
        <v>156</v>
      </c>
      <c r="B37" s="2"/>
      <c r="C37" s="2"/>
      <c r="D37" s="66" t="s">
        <v>192</v>
      </c>
      <c r="E37" s="2"/>
      <c r="F37" s="2"/>
      <c r="G37" s="66" t="s">
        <v>229</v>
      </c>
      <c r="H37" s="2"/>
      <c r="I37" s="2"/>
      <c r="J37" s="66" t="s">
        <v>397</v>
      </c>
      <c r="K37" s="2"/>
      <c r="L37" s="2"/>
      <c r="M37" s="66" t="s">
        <v>578</v>
      </c>
      <c r="N37" s="2"/>
      <c r="O37" s="2"/>
      <c r="P37" s="66" t="s">
        <v>579</v>
      </c>
      <c r="Q37" s="2"/>
      <c r="R37" s="2"/>
      <c r="S37" s="66" t="s">
        <v>580</v>
      </c>
      <c r="T37" s="2"/>
      <c r="U37" s="2"/>
      <c r="V37" s="66" t="s">
        <v>581</v>
      </c>
      <c r="W37" s="2"/>
      <c r="X37" s="2"/>
      <c r="Y37" s="66" t="s">
        <v>582</v>
      </c>
      <c r="Z37" s="2"/>
    </row>
    <row r="38" spans="1:26" ht="12.75">
      <c r="A38" s="66" t="s">
        <v>157</v>
      </c>
      <c r="B38" s="2"/>
      <c r="C38" s="2"/>
      <c r="D38" s="66" t="s">
        <v>193</v>
      </c>
      <c r="E38" s="2"/>
      <c r="F38" s="2"/>
      <c r="G38" s="66" t="s">
        <v>230</v>
      </c>
      <c r="H38" s="2"/>
      <c r="I38" s="2"/>
      <c r="J38" s="66" t="s">
        <v>398</v>
      </c>
      <c r="K38" s="2"/>
      <c r="L38" s="2"/>
      <c r="M38" s="66" t="s">
        <v>583</v>
      </c>
      <c r="N38" s="2"/>
      <c r="O38" s="2"/>
      <c r="P38" s="66" t="s">
        <v>584</v>
      </c>
      <c r="Q38" s="2"/>
      <c r="R38" s="2"/>
      <c r="S38" s="66" t="s">
        <v>585</v>
      </c>
      <c r="T38" s="2"/>
      <c r="U38" s="2"/>
      <c r="V38" s="66" t="s">
        <v>586</v>
      </c>
      <c r="W38" s="2"/>
      <c r="X38" s="2"/>
      <c r="Y38" s="66" t="s">
        <v>587</v>
      </c>
      <c r="Z38" s="2"/>
    </row>
    <row r="39" spans="1:26" ht="12.75">
      <c r="A39" s="66" t="s">
        <v>158</v>
      </c>
      <c r="B39" s="2"/>
      <c r="C39" s="2"/>
      <c r="D39" s="66" t="s">
        <v>194</v>
      </c>
      <c r="E39" s="2"/>
      <c r="F39" s="2"/>
      <c r="G39" s="66" t="s">
        <v>231</v>
      </c>
      <c r="H39" s="2"/>
      <c r="I39" s="2"/>
      <c r="J39" s="66" t="s">
        <v>399</v>
      </c>
      <c r="K39" s="2" t="s">
        <v>645</v>
      </c>
      <c r="L39" s="2"/>
      <c r="M39" s="66" t="s">
        <v>588</v>
      </c>
      <c r="N39" s="2"/>
      <c r="O39" s="2"/>
      <c r="P39" s="66" t="s">
        <v>589</v>
      </c>
      <c r="Q39" s="2"/>
      <c r="R39" s="2"/>
      <c r="S39" s="66" t="s">
        <v>590</v>
      </c>
      <c r="T39" s="2"/>
      <c r="U39" s="2"/>
      <c r="V39" s="66" t="s">
        <v>591</v>
      </c>
      <c r="W39" s="2"/>
      <c r="X39" s="2"/>
      <c r="Y39" s="66" t="s">
        <v>592</v>
      </c>
      <c r="Z39" s="2"/>
    </row>
    <row r="40" spans="1:26" ht="12.75">
      <c r="A40" s="66" t="s">
        <v>159</v>
      </c>
      <c r="B40" s="2"/>
      <c r="C40" s="2"/>
      <c r="D40" s="66" t="s">
        <v>195</v>
      </c>
      <c r="E40" s="2"/>
      <c r="F40" s="2"/>
      <c r="G40" s="66" t="s">
        <v>232</v>
      </c>
      <c r="H40" s="2"/>
      <c r="I40" s="2"/>
      <c r="J40" s="66" t="s">
        <v>400</v>
      </c>
      <c r="K40" s="2"/>
      <c r="L40" s="2"/>
      <c r="M40" s="66" t="s">
        <v>593</v>
      </c>
      <c r="N40" s="2"/>
      <c r="O40" s="2"/>
      <c r="P40" s="66" t="s">
        <v>594</v>
      </c>
      <c r="Q40" s="2"/>
      <c r="R40" s="2"/>
      <c r="S40" s="66" t="s">
        <v>595</v>
      </c>
      <c r="T40" s="2"/>
      <c r="U40" s="2"/>
      <c r="V40" s="66" t="s">
        <v>596</v>
      </c>
      <c r="W40" s="2"/>
      <c r="X40" s="2"/>
      <c r="Y40" s="66" t="s">
        <v>597</v>
      </c>
      <c r="Z40" s="2"/>
    </row>
    <row r="41" spans="1:26" ht="12.75">
      <c r="A41" s="66" t="s">
        <v>160</v>
      </c>
      <c r="B41" s="2"/>
      <c r="C41" s="2"/>
      <c r="D41" s="66" t="s">
        <v>196</v>
      </c>
      <c r="E41" s="2"/>
      <c r="F41" s="2"/>
      <c r="G41" s="66" t="s">
        <v>233</v>
      </c>
      <c r="H41" s="2"/>
      <c r="I41" s="2"/>
      <c r="J41" s="66" t="s">
        <v>401</v>
      </c>
      <c r="K41" s="2"/>
      <c r="L41" s="2"/>
      <c r="M41" s="66" t="s">
        <v>598</v>
      </c>
      <c r="N41" s="2"/>
      <c r="O41" s="2"/>
      <c r="P41" s="66" t="s">
        <v>599</v>
      </c>
      <c r="Q41" s="2"/>
      <c r="R41" s="2"/>
      <c r="S41" s="66" t="s">
        <v>600</v>
      </c>
      <c r="T41" s="2"/>
      <c r="U41" s="2"/>
      <c r="V41" s="66" t="s">
        <v>601</v>
      </c>
      <c r="W41" s="2"/>
      <c r="X41" s="2"/>
      <c r="Y41" s="66" t="s">
        <v>602</v>
      </c>
      <c r="Z41" s="2"/>
    </row>
    <row r="42" spans="1:26" ht="12.75">
      <c r="A42" s="66" t="s">
        <v>161</v>
      </c>
      <c r="B42" s="2"/>
      <c r="C42" s="2"/>
      <c r="D42" s="66" t="s">
        <v>197</v>
      </c>
      <c r="E42" s="2"/>
      <c r="F42" s="2"/>
      <c r="G42" s="66" t="s">
        <v>234</v>
      </c>
      <c r="H42" s="2"/>
      <c r="I42" s="2"/>
      <c r="J42" s="66" t="s">
        <v>402</v>
      </c>
      <c r="K42" s="2"/>
      <c r="L42" s="2"/>
      <c r="M42" s="66" t="s">
        <v>603</v>
      </c>
      <c r="N42" s="2"/>
      <c r="O42" s="2"/>
      <c r="P42" s="66" t="s">
        <v>604</v>
      </c>
      <c r="Q42" s="2"/>
      <c r="R42" s="2"/>
      <c r="S42" s="66" t="s">
        <v>605</v>
      </c>
      <c r="T42" s="2"/>
      <c r="U42" s="2"/>
      <c r="V42" s="66" t="s">
        <v>606</v>
      </c>
      <c r="W42" s="2"/>
      <c r="X42" s="2"/>
      <c r="Y42" s="66" t="s">
        <v>607</v>
      </c>
      <c r="Z42" s="2"/>
    </row>
    <row r="43" spans="1:26" ht="12.75">
      <c r="A43" s="66" t="s">
        <v>162</v>
      </c>
      <c r="B43" s="2"/>
      <c r="C43" s="2"/>
      <c r="D43" s="66" t="s">
        <v>198</v>
      </c>
      <c r="E43" s="2"/>
      <c r="F43" s="2"/>
      <c r="G43" s="66" t="s">
        <v>235</v>
      </c>
      <c r="H43" s="2"/>
      <c r="I43" s="2"/>
      <c r="J43" s="66" t="s">
        <v>403</v>
      </c>
      <c r="K43" s="2"/>
      <c r="L43" s="2"/>
      <c r="M43" s="66" t="s">
        <v>608</v>
      </c>
      <c r="N43" s="2"/>
      <c r="O43" s="2"/>
      <c r="P43" s="66" t="s">
        <v>609</v>
      </c>
      <c r="Q43" s="2"/>
      <c r="R43" s="2"/>
      <c r="S43" s="66" t="s">
        <v>610</v>
      </c>
      <c r="T43" s="2"/>
      <c r="U43" s="2"/>
      <c r="V43" s="66" t="s">
        <v>611</v>
      </c>
      <c r="W43" s="2"/>
      <c r="X43" s="2"/>
      <c r="Y43" s="66" t="s">
        <v>612</v>
      </c>
      <c r="Z43" s="2"/>
    </row>
    <row r="44" spans="1:26" ht="12.75">
      <c r="A44" s="66" t="s">
        <v>163</v>
      </c>
      <c r="B44" s="2"/>
      <c r="C44" s="2"/>
      <c r="D44" s="66" t="s">
        <v>199</v>
      </c>
      <c r="E44" s="2"/>
      <c r="F44" s="2"/>
      <c r="G44" s="66" t="s">
        <v>236</v>
      </c>
      <c r="H44" s="2"/>
      <c r="I44" s="2"/>
      <c r="J44" s="66" t="s">
        <v>404</v>
      </c>
      <c r="K44" s="2"/>
      <c r="L44" s="2"/>
      <c r="M44" s="66" t="s">
        <v>613</v>
      </c>
      <c r="N44" s="2"/>
      <c r="O44" s="2"/>
      <c r="P44" s="66" t="s">
        <v>614</v>
      </c>
      <c r="Q44" s="2"/>
      <c r="R44" s="2"/>
      <c r="S44" s="66" t="s">
        <v>615</v>
      </c>
      <c r="T44" s="2"/>
      <c r="U44" s="2"/>
      <c r="V44" s="66" t="s">
        <v>616</v>
      </c>
      <c r="W44" s="2"/>
      <c r="X44" s="2"/>
      <c r="Y44" s="66" t="s">
        <v>617</v>
      </c>
      <c r="Z44" s="2"/>
    </row>
    <row r="45" spans="1:26" ht="12.75">
      <c r="A45" s="66" t="s">
        <v>164</v>
      </c>
      <c r="B45" s="2"/>
      <c r="C45" s="2"/>
      <c r="D45" s="66" t="s">
        <v>200</v>
      </c>
      <c r="E45" s="2" t="s">
        <v>645</v>
      </c>
      <c r="F45" s="2"/>
      <c r="G45" s="66" t="s">
        <v>237</v>
      </c>
      <c r="H45" s="2"/>
      <c r="I45" s="2"/>
      <c r="J45" s="66" t="s">
        <v>405</v>
      </c>
      <c r="K45" s="2"/>
      <c r="L45" s="2"/>
      <c r="M45" s="66" t="s">
        <v>618</v>
      </c>
      <c r="N45" s="2"/>
      <c r="O45" s="2"/>
      <c r="P45" s="66" t="s">
        <v>619</v>
      </c>
      <c r="Q45" s="2"/>
      <c r="R45" s="2"/>
      <c r="S45" s="66" t="s">
        <v>620</v>
      </c>
      <c r="T45" s="2"/>
      <c r="U45" s="2"/>
      <c r="V45" s="66" t="s">
        <v>621</v>
      </c>
      <c r="W45" s="2"/>
      <c r="X45" s="2"/>
      <c r="Y45" s="66" t="s">
        <v>622</v>
      </c>
      <c r="Z45" s="2"/>
    </row>
    <row r="46" spans="1:26" ht="12.75">
      <c r="A46" s="66" t="s">
        <v>165</v>
      </c>
      <c r="B46" s="2"/>
      <c r="C46" s="2"/>
      <c r="D46" s="66" t="s">
        <v>201</v>
      </c>
      <c r="E46" s="2"/>
      <c r="F46" s="2"/>
      <c r="G46" s="66" t="s">
        <v>238</v>
      </c>
      <c r="H46" s="2"/>
      <c r="I46" s="2"/>
      <c r="J46" s="66" t="s">
        <v>406</v>
      </c>
      <c r="K46" s="2"/>
      <c r="L46" s="2"/>
      <c r="M46" s="66" t="s">
        <v>623</v>
      </c>
      <c r="N46" s="2"/>
      <c r="O46" s="2"/>
      <c r="P46" s="66" t="s">
        <v>624</v>
      </c>
      <c r="Q46" s="2"/>
      <c r="R46" s="2"/>
      <c r="S46" s="66" t="s">
        <v>625</v>
      </c>
      <c r="T46" s="2"/>
      <c r="U46" s="2"/>
      <c r="V46" s="66" t="s">
        <v>626</v>
      </c>
      <c r="W46" s="2"/>
      <c r="X46" s="2"/>
      <c r="Y46" s="66" t="s">
        <v>627</v>
      </c>
      <c r="Z46" s="2"/>
    </row>
    <row r="47" spans="1:26" ht="12.75">
      <c r="A47" s="66" t="s">
        <v>166</v>
      </c>
      <c r="B47" s="2"/>
      <c r="C47" s="2"/>
      <c r="D47" s="66" t="s">
        <v>202</v>
      </c>
      <c r="E47" s="2"/>
      <c r="F47" s="2"/>
      <c r="G47" s="66" t="s">
        <v>239</v>
      </c>
      <c r="H47" s="2"/>
      <c r="I47" s="2"/>
      <c r="J47" s="66" t="s">
        <v>407</v>
      </c>
      <c r="K47" s="2"/>
      <c r="L47" s="2"/>
      <c r="M47" s="66" t="s">
        <v>628</v>
      </c>
      <c r="N47" s="2"/>
      <c r="O47" s="2"/>
      <c r="P47" s="66" t="s">
        <v>629</v>
      </c>
      <c r="Q47" s="2"/>
      <c r="R47" s="2"/>
      <c r="S47" s="66" t="s">
        <v>630</v>
      </c>
      <c r="T47" s="2"/>
      <c r="U47" s="2"/>
      <c r="V47" s="66" t="s">
        <v>631</v>
      </c>
      <c r="W47" s="2"/>
      <c r="X47" s="2"/>
      <c r="Y47" s="66" t="s">
        <v>632</v>
      </c>
      <c r="Z47" s="2"/>
    </row>
    <row r="48" spans="1:26" ht="12.75">
      <c r="A48" s="295" t="s">
        <v>344</v>
      </c>
      <c r="B48" s="2"/>
      <c r="C48" s="2"/>
      <c r="D48" s="295" t="s">
        <v>344</v>
      </c>
      <c r="E48" s="2"/>
      <c r="F48" s="2"/>
      <c r="G48" s="295" t="s">
        <v>344</v>
      </c>
      <c r="H48" s="2"/>
      <c r="I48" s="2"/>
      <c r="J48" s="295" t="s">
        <v>344</v>
      </c>
      <c r="K48" s="2"/>
      <c r="L48" s="2"/>
      <c r="M48" s="295" t="s">
        <v>344</v>
      </c>
      <c r="N48" s="2"/>
      <c r="O48" s="2"/>
      <c r="P48" s="295" t="s">
        <v>344</v>
      </c>
      <c r="Q48" s="2"/>
      <c r="R48" s="2"/>
      <c r="S48" s="295" t="s">
        <v>344</v>
      </c>
      <c r="T48" s="2"/>
      <c r="U48" s="2"/>
      <c r="V48" s="295" t="s">
        <v>344</v>
      </c>
      <c r="W48" s="2"/>
      <c r="X48" s="2"/>
      <c r="Y48" s="295" t="s">
        <v>344</v>
      </c>
      <c r="Z48" s="2"/>
    </row>
    <row r="49" spans="1:26" ht="12.75">
      <c r="A49" s="295" t="s">
        <v>335</v>
      </c>
      <c r="B49" s="2"/>
      <c r="C49" s="2"/>
      <c r="D49" s="295" t="s">
        <v>345</v>
      </c>
      <c r="E49" s="2"/>
      <c r="F49" s="2"/>
      <c r="G49" s="66" t="s">
        <v>354</v>
      </c>
      <c r="H49" s="2"/>
      <c r="I49" s="2"/>
      <c r="J49" s="296" t="s">
        <v>363</v>
      </c>
      <c r="K49" s="2"/>
      <c r="L49" s="2"/>
      <c r="M49" s="66" t="s">
        <v>408</v>
      </c>
      <c r="N49" s="2"/>
      <c r="O49" s="2"/>
      <c r="P49" s="66" t="s">
        <v>409</v>
      </c>
      <c r="Q49" s="2"/>
      <c r="R49" s="2"/>
      <c r="S49" s="66" t="s">
        <v>410</v>
      </c>
      <c r="T49" s="2"/>
      <c r="U49" s="2"/>
      <c r="V49" s="66" t="s">
        <v>411</v>
      </c>
      <c r="W49" s="2"/>
      <c r="X49" s="2"/>
      <c r="Y49" s="66" t="s">
        <v>412</v>
      </c>
      <c r="Z49" s="2"/>
    </row>
    <row r="50" spans="1:26" ht="12.75">
      <c r="A50" s="295" t="s">
        <v>336</v>
      </c>
      <c r="B50" s="2"/>
      <c r="C50" s="2"/>
      <c r="D50" s="295" t="s">
        <v>346</v>
      </c>
      <c r="E50" s="2"/>
      <c r="F50" s="2"/>
      <c r="G50" s="66" t="s">
        <v>355</v>
      </c>
      <c r="H50" s="2"/>
      <c r="I50" s="2"/>
      <c r="J50" s="296" t="s">
        <v>364</v>
      </c>
      <c r="K50" s="2"/>
      <c r="L50" s="2"/>
      <c r="M50" s="66" t="s">
        <v>413</v>
      </c>
      <c r="N50" s="2"/>
      <c r="O50" s="2"/>
      <c r="P50" s="66" t="s">
        <v>414</v>
      </c>
      <c r="Q50" s="2"/>
      <c r="R50" s="2"/>
      <c r="S50" s="66" t="s">
        <v>415</v>
      </c>
      <c r="T50" s="2"/>
      <c r="U50" s="2"/>
      <c r="V50" s="66" t="s">
        <v>416</v>
      </c>
      <c r="W50" s="2"/>
      <c r="X50" s="2"/>
      <c r="Y50" s="66" t="s">
        <v>417</v>
      </c>
      <c r="Z50" s="2"/>
    </row>
    <row r="51" spans="1:26" ht="12.75">
      <c r="A51" s="295" t="s">
        <v>337</v>
      </c>
      <c r="B51" s="2"/>
      <c r="C51" s="2"/>
      <c r="D51" s="295" t="s">
        <v>347</v>
      </c>
      <c r="E51" s="2"/>
      <c r="F51" s="2"/>
      <c r="G51" s="66" t="s">
        <v>356</v>
      </c>
      <c r="H51" s="2"/>
      <c r="I51" s="2"/>
      <c r="J51" s="296" t="s">
        <v>365</v>
      </c>
      <c r="K51" s="2"/>
      <c r="L51" s="2"/>
      <c r="M51" s="66" t="s">
        <v>418</v>
      </c>
      <c r="N51" s="2"/>
      <c r="O51" s="2"/>
      <c r="P51" s="66" t="s">
        <v>419</v>
      </c>
      <c r="Q51" s="2"/>
      <c r="R51" s="2"/>
      <c r="S51" s="66" t="s">
        <v>420</v>
      </c>
      <c r="T51" s="2"/>
      <c r="U51" s="2"/>
      <c r="V51" s="66" t="s">
        <v>421</v>
      </c>
      <c r="W51" s="2"/>
      <c r="X51" s="2"/>
      <c r="Y51" s="66" t="s">
        <v>422</v>
      </c>
      <c r="Z51" s="2"/>
    </row>
    <row r="52" spans="1:26" ht="12.75">
      <c r="A52" s="295" t="s">
        <v>338</v>
      </c>
      <c r="B52" s="2"/>
      <c r="C52" s="2"/>
      <c r="D52" s="295" t="s">
        <v>348</v>
      </c>
      <c r="E52" s="2"/>
      <c r="F52" s="2"/>
      <c r="G52" s="66" t="s">
        <v>357</v>
      </c>
      <c r="H52" s="2"/>
      <c r="I52" s="2"/>
      <c r="J52" s="296" t="s">
        <v>366</v>
      </c>
      <c r="K52" s="2"/>
      <c r="L52" s="2"/>
      <c r="M52" s="66" t="s">
        <v>423</v>
      </c>
      <c r="N52" s="2"/>
      <c r="O52" s="2"/>
      <c r="P52" s="66" t="s">
        <v>424</v>
      </c>
      <c r="Q52" s="2"/>
      <c r="R52" s="2"/>
      <c r="S52" s="66" t="s">
        <v>425</v>
      </c>
      <c r="T52" s="2"/>
      <c r="U52" s="2"/>
      <c r="V52" s="66" t="s">
        <v>426</v>
      </c>
      <c r="W52" s="2"/>
      <c r="X52" s="2"/>
      <c r="Y52" s="66" t="s">
        <v>427</v>
      </c>
      <c r="Z52" s="2"/>
    </row>
    <row r="53" spans="1:26" ht="12.75">
      <c r="A53" s="295" t="s">
        <v>339</v>
      </c>
      <c r="B53" s="2"/>
      <c r="C53" s="2"/>
      <c r="D53" s="295" t="s">
        <v>349</v>
      </c>
      <c r="E53" s="2"/>
      <c r="F53" s="2"/>
      <c r="G53" s="66" t="s">
        <v>358</v>
      </c>
      <c r="H53" s="2"/>
      <c r="I53" s="2"/>
      <c r="J53" s="296" t="s">
        <v>367</v>
      </c>
      <c r="K53" s="2"/>
      <c r="L53" s="2"/>
      <c r="M53" s="66" t="s">
        <v>428</v>
      </c>
      <c r="N53" s="2"/>
      <c r="O53" s="2"/>
      <c r="P53" s="66" t="s">
        <v>429</v>
      </c>
      <c r="Q53" s="2"/>
      <c r="R53" s="2"/>
      <c r="S53" s="66" t="s">
        <v>430</v>
      </c>
      <c r="T53" s="2"/>
      <c r="U53" s="2"/>
      <c r="V53" s="66" t="s">
        <v>431</v>
      </c>
      <c r="W53" s="2"/>
      <c r="X53" s="2"/>
      <c r="Y53" s="66" t="s">
        <v>432</v>
      </c>
      <c r="Z53" s="2"/>
    </row>
    <row r="54" spans="1:26" ht="12.75">
      <c r="A54" s="66"/>
      <c r="B54" s="2"/>
      <c r="C54" s="2"/>
      <c r="D54" s="66"/>
      <c r="E54" s="2"/>
      <c r="F54" s="2"/>
      <c r="G54" s="6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66"/>
      <c r="B55" s="2"/>
      <c r="C55" s="2"/>
      <c r="D55" s="66"/>
      <c r="E55" s="2"/>
      <c r="F55" s="2"/>
      <c r="G55" s="6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66"/>
      <c r="B56" s="2"/>
      <c r="C56" s="2"/>
      <c r="D56" s="66"/>
      <c r="E56" s="2"/>
      <c r="F56" s="2"/>
      <c r="G56" s="6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66"/>
      <c r="B57" s="2"/>
      <c r="C57" s="2"/>
      <c r="D57" s="66"/>
      <c r="E57" s="2"/>
      <c r="F57" s="2"/>
      <c r="G57" s="6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66"/>
      <c r="B58" s="2"/>
      <c r="C58" s="2"/>
      <c r="D58" s="66"/>
      <c r="E58" s="2"/>
      <c r="F58" s="2"/>
      <c r="G58" s="6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66"/>
      <c r="B59" s="2"/>
      <c r="C59" s="2"/>
      <c r="D59" s="66"/>
      <c r="E59" s="2"/>
      <c r="F59" s="2"/>
      <c r="G59" s="6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66"/>
      <c r="B60" s="2"/>
      <c r="C60" s="2"/>
      <c r="D60" s="66"/>
      <c r="E60" s="2"/>
      <c r="F60" s="2"/>
      <c r="G60" s="6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66"/>
      <c r="B61" s="2"/>
      <c r="C61" s="2"/>
      <c r="D61" s="66"/>
      <c r="E61" s="2"/>
      <c r="F61" s="2"/>
      <c r="G61" s="6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66"/>
      <c r="B62" s="2"/>
      <c r="C62" s="2"/>
      <c r="D62" s="66"/>
      <c r="E62" s="2"/>
      <c r="F62" s="2"/>
      <c r="G62" s="6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66"/>
      <c r="B63" s="2"/>
      <c r="C63" s="2"/>
      <c r="D63" s="66"/>
      <c r="E63" s="2"/>
      <c r="F63" s="2"/>
      <c r="G63" s="6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66"/>
      <c r="B64" s="2"/>
      <c r="C64" s="2"/>
      <c r="D64" s="66"/>
      <c r="E64" s="2"/>
      <c r="F64" s="2"/>
      <c r="G64" s="6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66"/>
      <c r="B65" s="2"/>
      <c r="C65" s="2"/>
      <c r="D65" s="66"/>
      <c r="E65" s="2"/>
      <c r="F65" s="2"/>
      <c r="G65" s="6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66"/>
      <c r="B66" s="2"/>
      <c r="C66" s="2"/>
      <c r="D66" s="66"/>
      <c r="E66" s="2"/>
      <c r="F66" s="2"/>
      <c r="G66" s="6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66"/>
      <c r="B67" s="2"/>
      <c r="C67" s="2"/>
      <c r="D67" s="66"/>
      <c r="E67" s="2"/>
      <c r="F67" s="2"/>
      <c r="G67" s="6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66"/>
      <c r="B68" s="2"/>
      <c r="C68" s="2"/>
      <c r="D68" s="66"/>
      <c r="E68" s="2"/>
      <c r="F68" s="2"/>
      <c r="G68" s="6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66"/>
      <c r="B69" s="2"/>
      <c r="C69" s="2"/>
      <c r="D69" s="66"/>
      <c r="E69" s="2"/>
      <c r="F69" s="2"/>
      <c r="G69" s="6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66"/>
      <c r="B70" s="2"/>
      <c r="C70" s="2"/>
      <c r="D70" s="66"/>
      <c r="E70" s="2"/>
      <c r="F70" s="2"/>
      <c r="G70" s="6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66"/>
      <c r="B71" s="2"/>
      <c r="C71" s="2"/>
      <c r="D71" s="66"/>
      <c r="E71" s="2"/>
      <c r="F71" s="2"/>
      <c r="G71" s="6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66"/>
      <c r="B72" s="2"/>
      <c r="C72" s="2"/>
      <c r="D72" s="66"/>
      <c r="E72" s="2"/>
      <c r="F72" s="2"/>
      <c r="G72" s="6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66"/>
      <c r="B73" s="2"/>
      <c r="C73" s="2"/>
      <c r="D73" s="66"/>
      <c r="E73" s="2"/>
      <c r="F73" s="2"/>
      <c r="G73" s="6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66"/>
      <c r="B74" s="2"/>
      <c r="C74" s="2"/>
      <c r="D74" s="66"/>
      <c r="E74" s="2"/>
      <c r="F74" s="2"/>
      <c r="G74" s="6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66"/>
      <c r="B75" s="2"/>
      <c r="C75" s="2"/>
      <c r="D75" s="66"/>
      <c r="E75" s="2"/>
      <c r="F75" s="2"/>
      <c r="G75" s="6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66"/>
      <c r="B76" s="2"/>
      <c r="C76" s="2"/>
      <c r="D76" s="66"/>
      <c r="E76" s="2"/>
      <c r="F76" s="2"/>
      <c r="G76" s="6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66"/>
      <c r="B77" s="2"/>
      <c r="C77" s="2"/>
      <c r="D77" s="66"/>
      <c r="E77" s="2"/>
      <c r="F77" s="2"/>
      <c r="G77" s="6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66"/>
      <c r="B78" s="2"/>
      <c r="C78" s="2"/>
      <c r="D78" s="66"/>
      <c r="E78" s="2"/>
      <c r="F78" s="2"/>
      <c r="G78" s="6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66"/>
      <c r="B79" s="2"/>
      <c r="C79" s="2"/>
      <c r="D79" s="66"/>
      <c r="E79" s="2"/>
      <c r="F79" s="2"/>
      <c r="G79" s="6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66"/>
      <c r="B80" s="2"/>
      <c r="C80" s="2"/>
      <c r="D80" s="66"/>
      <c r="E80" s="2"/>
      <c r="F80" s="2"/>
      <c r="G80" s="6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66"/>
      <c r="B81" s="2"/>
      <c r="C81" s="2"/>
      <c r="D81" s="66"/>
      <c r="E81" s="2"/>
      <c r="F81" s="2"/>
      <c r="G81" s="6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66"/>
      <c r="B82" s="2"/>
      <c r="C82" s="2"/>
      <c r="D82" s="66"/>
      <c r="E82" s="2"/>
      <c r="F82" s="2"/>
      <c r="G82" s="6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66"/>
      <c r="B83" s="2"/>
      <c r="C83" s="2"/>
      <c r="D83" s="66"/>
      <c r="E83" s="2"/>
      <c r="F83" s="2"/>
      <c r="G83" s="6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66"/>
      <c r="B84" s="2"/>
      <c r="C84" s="2"/>
      <c r="D84" s="66"/>
      <c r="E84" s="2"/>
      <c r="F84" s="2"/>
      <c r="G84" s="6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66"/>
      <c r="B85" s="2"/>
      <c r="C85" s="2"/>
      <c r="D85" s="66"/>
      <c r="E85" s="2"/>
      <c r="F85" s="2"/>
      <c r="G85" s="6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66"/>
      <c r="B86" s="2"/>
      <c r="C86" s="2"/>
      <c r="D86" s="66"/>
      <c r="E86" s="2"/>
      <c r="F86" s="2"/>
      <c r="G86" s="6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66"/>
      <c r="B87" s="2"/>
      <c r="C87" s="2"/>
      <c r="D87" s="66"/>
      <c r="E87" s="2"/>
      <c r="F87" s="2"/>
      <c r="G87" s="6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66"/>
      <c r="B88" s="2"/>
      <c r="C88" s="2"/>
      <c r="D88" s="66"/>
      <c r="E88" s="2"/>
      <c r="F88" s="2"/>
      <c r="G88" s="6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66"/>
      <c r="B89" s="2"/>
      <c r="C89" s="2"/>
      <c r="D89" s="66"/>
      <c r="E89" s="2"/>
      <c r="F89" s="2"/>
      <c r="G89" s="6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66"/>
      <c r="B90" s="2"/>
      <c r="C90" s="2"/>
      <c r="D90" s="66"/>
      <c r="E90" s="2"/>
      <c r="F90" s="2"/>
      <c r="G90" s="6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66"/>
      <c r="B91" s="2"/>
      <c r="C91" s="2"/>
      <c r="D91" s="66"/>
      <c r="E91" s="2"/>
      <c r="F91" s="2"/>
      <c r="G91" s="6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66"/>
      <c r="B92" s="2"/>
      <c r="C92" s="2"/>
      <c r="D92" s="66"/>
      <c r="E92" s="2"/>
      <c r="F92" s="2"/>
      <c r="G92" s="6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66"/>
      <c r="B93" s="2"/>
      <c r="C93" s="2"/>
      <c r="D93" s="66"/>
      <c r="E93" s="2"/>
      <c r="F93" s="2"/>
      <c r="G93" s="6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43" ht="12.75">
      <c r="A94" s="66"/>
      <c r="B94" s="2"/>
      <c r="C94" s="2"/>
      <c r="D94" s="66"/>
      <c r="E94" s="2"/>
      <c r="F94" s="2"/>
      <c r="G94" s="6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2.75">
      <c r="A95" s="66"/>
      <c r="B95" s="2"/>
      <c r="C95" s="2"/>
      <c r="D95" s="66"/>
      <c r="E95" s="2"/>
      <c r="F95" s="2"/>
      <c r="G95" s="6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2.75">
      <c r="A96" s="66"/>
      <c r="B96" s="2"/>
      <c r="C96" s="2"/>
      <c r="D96" s="66"/>
      <c r="E96" s="2"/>
      <c r="F96" s="2"/>
      <c r="G96" s="6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2.75">
      <c r="A97" s="66"/>
      <c r="B97" s="2"/>
      <c r="C97" s="2"/>
      <c r="D97" s="66"/>
      <c r="E97" s="2"/>
      <c r="F97" s="2"/>
      <c r="G97" s="6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2.75">
      <c r="A98" s="66"/>
      <c r="B98" s="2"/>
      <c r="C98" s="2"/>
      <c r="D98" s="66"/>
      <c r="E98" s="2"/>
      <c r="F98" s="2"/>
      <c r="G98" s="6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2.75">
      <c r="A99" s="66"/>
      <c r="B99" s="2"/>
      <c r="C99" s="2"/>
      <c r="D99" s="66"/>
      <c r="E99" s="2"/>
      <c r="F99" s="2"/>
      <c r="G99" s="6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2.75">
      <c r="A100" s="66"/>
      <c r="B100" s="2"/>
      <c r="C100" s="2"/>
      <c r="D100" s="66"/>
      <c r="E100" s="2"/>
      <c r="F100" s="2"/>
      <c r="G100" s="6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2.75">
      <c r="A101" s="66"/>
      <c r="B101" s="2"/>
      <c r="C101" s="2"/>
      <c r="D101" s="66"/>
      <c r="E101" s="2"/>
      <c r="F101" s="2"/>
      <c r="G101" s="6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2.75">
      <c r="A102" s="66"/>
      <c r="B102" s="2"/>
      <c r="C102" s="2"/>
      <c r="D102" s="66"/>
      <c r="E102" s="2"/>
      <c r="F102" s="2"/>
      <c r="G102" s="6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P102" s="2"/>
      <c r="AQ102" s="2"/>
    </row>
    <row r="103" spans="1:43" ht="12.75">
      <c r="A103" s="66"/>
      <c r="B103" s="2"/>
      <c r="C103" s="2"/>
      <c r="D103" s="66"/>
      <c r="E103" s="2"/>
      <c r="F103" s="2"/>
      <c r="G103" s="6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P103" s="2"/>
      <c r="AQ103" s="2"/>
    </row>
    <row r="104" spans="1:43" ht="12.75">
      <c r="A104" s="66"/>
      <c r="B104" s="2"/>
      <c r="C104" s="2"/>
      <c r="D104" s="66"/>
      <c r="E104" s="2"/>
      <c r="F104" s="2"/>
      <c r="G104" s="6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P104" s="2"/>
      <c r="AQ104" s="2"/>
    </row>
    <row r="105" spans="1:43" ht="12.75">
      <c r="A105" s="66"/>
      <c r="B105" s="2"/>
      <c r="C105" s="2"/>
      <c r="D105" s="66"/>
      <c r="E105" s="2"/>
      <c r="F105" s="2"/>
      <c r="G105" s="6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P105" s="2"/>
      <c r="AQ105" s="2"/>
    </row>
    <row r="106" spans="1:43" ht="12.75">
      <c r="A106" s="66"/>
      <c r="B106" s="2"/>
      <c r="C106" s="2"/>
      <c r="D106" s="66"/>
      <c r="E106" s="2"/>
      <c r="F106" s="2"/>
      <c r="G106" s="6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P106" s="2"/>
      <c r="AQ106" s="2"/>
    </row>
    <row r="107" spans="1:26" ht="12.75">
      <c r="A107" s="66"/>
      <c r="B107" s="2"/>
      <c r="C107" s="2"/>
      <c r="D107" s="66"/>
      <c r="E107" s="2"/>
      <c r="F107" s="2"/>
      <c r="G107" s="6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66"/>
      <c r="B108" s="2"/>
      <c r="C108" s="2"/>
      <c r="D108" s="66"/>
      <c r="E108" s="2"/>
      <c r="F108" s="2"/>
      <c r="G108" s="6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66"/>
      <c r="B109" s="2"/>
      <c r="C109" s="2"/>
      <c r="D109" s="66"/>
      <c r="E109" s="2"/>
      <c r="F109" s="2"/>
      <c r="G109" s="6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66"/>
      <c r="B110" s="2"/>
      <c r="C110" s="2"/>
      <c r="D110" s="66"/>
      <c r="E110" s="2"/>
      <c r="F110" s="2"/>
      <c r="G110" s="6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66"/>
      <c r="B111" s="2"/>
      <c r="C111" s="2"/>
      <c r="D111" s="66"/>
      <c r="E111" s="2"/>
      <c r="F111" s="2"/>
      <c r="G111" s="6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66"/>
      <c r="B112" s="2"/>
      <c r="C112" s="2"/>
      <c r="D112" s="66"/>
      <c r="E112" s="2"/>
      <c r="F112" s="2"/>
      <c r="G112" s="6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66"/>
      <c r="B113" s="2"/>
      <c r="C113" s="2"/>
      <c r="D113" s="66"/>
      <c r="E113" s="2"/>
      <c r="F113" s="2"/>
      <c r="G113" s="6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66"/>
      <c r="B114" s="2"/>
      <c r="C114" s="2"/>
      <c r="D114" s="66"/>
      <c r="E114" s="2"/>
      <c r="F114" s="2"/>
      <c r="G114" s="6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66"/>
      <c r="B115" s="2"/>
      <c r="C115" s="2"/>
      <c r="D115" s="66"/>
      <c r="E115" s="2"/>
      <c r="F115" s="2"/>
      <c r="G115" s="6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66"/>
      <c r="B116" s="2"/>
      <c r="C116" s="2"/>
      <c r="D116" s="66"/>
      <c r="E116" s="2"/>
      <c r="F116" s="2"/>
      <c r="G116" s="6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66"/>
      <c r="B117" s="2"/>
      <c r="C117" s="2"/>
      <c r="D117" s="66"/>
      <c r="E117" s="2"/>
      <c r="F117" s="2"/>
      <c r="G117" s="6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66"/>
      <c r="B118" s="2"/>
      <c r="C118" s="2"/>
      <c r="D118" s="66"/>
      <c r="E118" s="2"/>
      <c r="F118" s="2"/>
      <c r="G118" s="6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66"/>
      <c r="B119" s="2"/>
      <c r="C119" s="2"/>
      <c r="D119" s="66"/>
      <c r="E119" s="2"/>
      <c r="F119" s="2"/>
      <c r="G119" s="6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66"/>
      <c r="B120" s="2"/>
      <c r="C120" s="2"/>
      <c r="D120" s="66"/>
      <c r="E120" s="2"/>
      <c r="F120" s="2"/>
      <c r="G120" s="6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66"/>
      <c r="B121" s="2"/>
      <c r="C121" s="2"/>
      <c r="D121" s="66"/>
      <c r="E121" s="2"/>
      <c r="F121" s="2"/>
      <c r="G121" s="6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66"/>
      <c r="B122" s="2"/>
      <c r="C122" s="2"/>
      <c r="D122" s="66"/>
      <c r="E122" s="2"/>
      <c r="F122" s="2"/>
      <c r="G122" s="6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66"/>
      <c r="B123" s="2"/>
      <c r="C123" s="2"/>
      <c r="D123" s="66"/>
      <c r="E123" s="2"/>
      <c r="F123" s="2"/>
      <c r="G123" s="6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66"/>
      <c r="B124" s="2"/>
      <c r="C124" s="2"/>
      <c r="D124" s="66"/>
      <c r="E124" s="2"/>
      <c r="F124" s="2"/>
      <c r="G124" s="6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66"/>
      <c r="B125" s="2"/>
      <c r="C125" s="2"/>
      <c r="D125" s="66"/>
      <c r="E125" s="2"/>
      <c r="F125" s="2"/>
      <c r="G125" s="6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66"/>
      <c r="B126" s="2"/>
      <c r="C126" s="2"/>
      <c r="D126" s="66"/>
      <c r="E126" s="2"/>
      <c r="F126" s="2"/>
      <c r="G126" s="6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66"/>
      <c r="B127" s="2"/>
      <c r="C127" s="2"/>
      <c r="D127" s="66"/>
      <c r="E127" s="2"/>
      <c r="F127" s="2"/>
      <c r="G127" s="6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66"/>
      <c r="B128" s="2"/>
      <c r="C128" s="2"/>
      <c r="D128" s="66"/>
      <c r="E128" s="2"/>
      <c r="F128" s="2"/>
      <c r="G128" s="6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66"/>
      <c r="B129" s="2"/>
      <c r="C129" s="2"/>
      <c r="D129" s="66"/>
      <c r="E129" s="2"/>
      <c r="F129" s="2"/>
      <c r="G129" s="6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66"/>
      <c r="B130" s="2"/>
      <c r="C130" s="2"/>
      <c r="D130" s="66"/>
      <c r="E130" s="2"/>
      <c r="F130" s="2"/>
      <c r="G130" s="6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66"/>
      <c r="B131" s="2"/>
      <c r="C131" s="2"/>
      <c r="D131" s="66"/>
      <c r="E131" s="2"/>
      <c r="F131" s="2"/>
      <c r="G131" s="6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66"/>
      <c r="B132" s="66"/>
      <c r="C132" s="2"/>
      <c r="D132" s="66"/>
      <c r="E132" s="2"/>
      <c r="F132" s="2"/>
      <c r="G132" s="6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  <col min="2" max="2" width="7.140625" style="0" bestFit="1" customWidth="1"/>
    <col min="3" max="3" width="7.7109375" style="0" bestFit="1" customWidth="1"/>
    <col min="4" max="4" width="8.7109375" style="0" bestFit="1" customWidth="1"/>
    <col min="5" max="5" width="7.140625" style="0" bestFit="1" customWidth="1"/>
    <col min="6" max="6" width="7.7109375" style="0" bestFit="1" customWidth="1"/>
    <col min="7" max="7" width="8.7109375" style="0" bestFit="1" customWidth="1"/>
    <col min="8" max="8" width="7.140625" style="0" bestFit="1" customWidth="1"/>
    <col min="9" max="9" width="7.7109375" style="0" bestFit="1" customWidth="1"/>
    <col min="10" max="10" width="8.7109375" style="0" bestFit="1" customWidth="1"/>
    <col min="11" max="11" width="7.140625" style="0" bestFit="1" customWidth="1"/>
    <col min="13" max="13" width="10.7109375" style="0" bestFit="1" customWidth="1"/>
    <col min="14" max="14" width="6.28125" style="0" customWidth="1"/>
    <col min="15" max="15" width="5.8515625" style="0" customWidth="1"/>
    <col min="16" max="16" width="7.8515625" style="0" bestFit="1" customWidth="1"/>
    <col min="17" max="17" width="6.140625" style="0" bestFit="1" customWidth="1"/>
    <col min="18" max="18" width="7.8515625" style="0" bestFit="1" customWidth="1"/>
    <col min="19" max="19" width="7.421875" style="0" customWidth="1"/>
    <col min="20" max="20" width="3.00390625" style="0" customWidth="1"/>
    <col min="21" max="21" width="5.8515625" style="0" bestFit="1" customWidth="1"/>
    <col min="22" max="22" width="6.57421875" style="0" bestFit="1" customWidth="1"/>
    <col min="23" max="23" width="5.00390625" style="0" bestFit="1" customWidth="1"/>
    <col min="24" max="24" width="7.57421875" style="0" bestFit="1" customWidth="1"/>
    <col min="25" max="25" width="12.28125" style="0" bestFit="1" customWidth="1"/>
    <col min="26" max="26" width="12.28125" style="0" customWidth="1"/>
    <col min="27" max="27" width="4.8515625" style="67" bestFit="1" customWidth="1"/>
    <col min="28" max="28" width="7.8515625" style="67" bestFit="1" customWidth="1"/>
    <col min="29" max="29" width="5.57421875" style="67" bestFit="1" customWidth="1"/>
    <col min="30" max="30" width="15.8515625" style="67" bestFit="1" customWidth="1"/>
    <col min="31" max="31" width="4.28125" style="67" customWidth="1"/>
    <col min="32" max="32" width="4.8515625" style="67" bestFit="1" customWidth="1"/>
    <col min="33" max="33" width="7.8515625" style="67" bestFit="1" customWidth="1"/>
    <col min="34" max="34" width="5.57421875" style="67" bestFit="1" customWidth="1"/>
    <col min="35" max="35" width="15.8515625" style="67" bestFit="1" customWidth="1"/>
    <col min="37" max="37" width="6.8515625" style="0" bestFit="1" customWidth="1"/>
    <col min="38" max="38" width="14.57421875" style="0" customWidth="1"/>
    <col min="39" max="39" width="14.140625" style="0" customWidth="1"/>
    <col min="40" max="40" width="7.8515625" style="0" bestFit="1" customWidth="1"/>
    <col min="41" max="41" width="7.57421875" style="0" bestFit="1" customWidth="1"/>
    <col min="42" max="42" width="8.421875" style="0" bestFit="1" customWidth="1"/>
  </cols>
  <sheetData>
    <row r="1" spans="1:42" ht="27" customHeight="1" thickBot="1">
      <c r="A1" s="224" t="s">
        <v>292</v>
      </c>
      <c r="O1" s="224" t="s">
        <v>314</v>
      </c>
      <c r="T1" s="224" t="s">
        <v>321</v>
      </c>
      <c r="AA1" s="67" t="s">
        <v>672</v>
      </c>
      <c r="AB1" s="67" t="s">
        <v>643</v>
      </c>
      <c r="AC1" s="67" t="s">
        <v>316</v>
      </c>
      <c r="AD1" s="67" t="s">
        <v>644</v>
      </c>
      <c r="AF1" s="67" t="s">
        <v>672</v>
      </c>
      <c r="AG1" s="67" t="s">
        <v>643</v>
      </c>
      <c r="AH1" s="67" t="s">
        <v>316</v>
      </c>
      <c r="AI1" s="67" t="s">
        <v>644</v>
      </c>
      <c r="AK1" s="30" t="s">
        <v>320</v>
      </c>
      <c r="AL1" s="301" t="s">
        <v>688</v>
      </c>
      <c r="AM1" s="301" t="s">
        <v>689</v>
      </c>
      <c r="AN1" s="304" t="s">
        <v>700</v>
      </c>
      <c r="AO1" s="30" t="s">
        <v>690</v>
      </c>
      <c r="AP1" s="30" t="s">
        <v>691</v>
      </c>
    </row>
    <row r="2" spans="1:42" ht="13.5" thickBot="1">
      <c r="A2" s="66"/>
      <c r="B2" s="311" t="s">
        <v>101</v>
      </c>
      <c r="C2" s="312"/>
      <c r="D2" s="313"/>
      <c r="E2" s="313"/>
      <c r="F2" s="314"/>
      <c r="G2" s="314"/>
      <c r="H2" s="311" t="s">
        <v>102</v>
      </c>
      <c r="I2" s="312"/>
      <c r="J2" s="313"/>
      <c r="K2" s="313"/>
      <c r="L2" s="314"/>
      <c r="M2" s="315"/>
      <c r="O2" s="272" t="s">
        <v>293</v>
      </c>
      <c r="P2" s="273" t="s">
        <v>15</v>
      </c>
      <c r="Q2" s="272" t="s">
        <v>293</v>
      </c>
      <c r="R2" s="273" t="s">
        <v>15</v>
      </c>
      <c r="T2" s="272" t="s">
        <v>323</v>
      </c>
      <c r="U2" s="279" t="s">
        <v>320</v>
      </c>
      <c r="V2" s="280" t="s">
        <v>317</v>
      </c>
      <c r="W2" s="281" t="s">
        <v>318</v>
      </c>
      <c r="X2" s="289" t="s">
        <v>319</v>
      </c>
      <c r="Y2" s="292" t="s">
        <v>324</v>
      </c>
      <c r="Z2" s="161"/>
      <c r="AA2" s="298">
        <v>40402</v>
      </c>
      <c r="AB2" s="67" t="s">
        <v>679</v>
      </c>
      <c r="AC2" s="67">
        <v>1</v>
      </c>
      <c r="AD2" s="67" t="s">
        <v>674</v>
      </c>
      <c r="AF2" s="298"/>
      <c r="AG2" s="67" t="s">
        <v>302</v>
      </c>
      <c r="AH2" s="67">
        <v>2</v>
      </c>
      <c r="AK2" s="30" t="s">
        <v>692</v>
      </c>
      <c r="AL2" s="30">
        <v>0.23086</v>
      </c>
      <c r="AM2" s="30">
        <v>0.22658</v>
      </c>
      <c r="AN2" s="302">
        <f>(AL2-AM2)/AL2</f>
        <v>0.0185393745126917</v>
      </c>
      <c r="AO2" s="302">
        <f>(3/16)/12</f>
        <v>0.015625</v>
      </c>
      <c r="AP2" s="302">
        <f>(5/16)/12</f>
        <v>0.026041666666666668</v>
      </c>
    </row>
    <row r="3" spans="1:42" ht="13.5" thickBot="1">
      <c r="A3" s="66"/>
      <c r="B3" s="333" t="s">
        <v>91</v>
      </c>
      <c r="C3" s="337"/>
      <c r="D3" s="334"/>
      <c r="E3" s="333" t="s">
        <v>92</v>
      </c>
      <c r="F3" s="337"/>
      <c r="G3" s="334"/>
      <c r="H3" s="333" t="s">
        <v>91</v>
      </c>
      <c r="I3" s="337"/>
      <c r="J3" s="334"/>
      <c r="K3" s="333" t="s">
        <v>92</v>
      </c>
      <c r="L3" s="337"/>
      <c r="M3" s="334"/>
      <c r="O3" s="274">
        <v>1</v>
      </c>
      <c r="P3" s="275" t="s">
        <v>294</v>
      </c>
      <c r="Q3" s="274">
        <v>11</v>
      </c>
      <c r="R3" s="275" t="s">
        <v>309</v>
      </c>
      <c r="T3" s="365">
        <v>1</v>
      </c>
      <c r="U3" s="363">
        <v>1</v>
      </c>
      <c r="V3" s="282">
        <v>61.2</v>
      </c>
      <c r="W3" s="283" t="s">
        <v>663</v>
      </c>
      <c r="X3" s="290">
        <v>8.382</v>
      </c>
      <c r="Y3" s="293" t="s">
        <v>642</v>
      </c>
      <c r="Z3" s="300"/>
      <c r="AA3" s="298"/>
      <c r="AC3" s="67">
        <v>2</v>
      </c>
      <c r="AD3" s="67" t="s">
        <v>675</v>
      </c>
      <c r="AF3" s="298"/>
      <c r="AH3" s="67">
        <v>1</v>
      </c>
      <c r="AK3" s="30" t="s">
        <v>699</v>
      </c>
      <c r="AL3" s="30">
        <v>0.23186</v>
      </c>
      <c r="AM3" s="30">
        <v>0.22706</v>
      </c>
      <c r="AN3" s="302">
        <f>(AL3-AM3)/AL3</f>
        <v>0.020702147847839206</v>
      </c>
      <c r="AO3" s="302">
        <f>(3/8)/12</f>
        <v>0.03125</v>
      </c>
      <c r="AP3" s="302">
        <f>(1/16)/12</f>
        <v>0.005208333333333333</v>
      </c>
    </row>
    <row r="4" spans="1:42" ht="13.5" thickBot="1">
      <c r="A4" s="66"/>
      <c r="B4" s="68" t="s">
        <v>251</v>
      </c>
      <c r="C4" s="69" t="s">
        <v>252</v>
      </c>
      <c r="D4" s="70" t="s">
        <v>253</v>
      </c>
      <c r="E4" s="68" t="s">
        <v>251</v>
      </c>
      <c r="F4" s="69" t="s">
        <v>252</v>
      </c>
      <c r="G4" s="70" t="s">
        <v>253</v>
      </c>
      <c r="H4" s="68" t="s">
        <v>251</v>
      </c>
      <c r="I4" s="69" t="s">
        <v>252</v>
      </c>
      <c r="J4" s="70" t="s">
        <v>253</v>
      </c>
      <c r="K4" s="68" t="s">
        <v>251</v>
      </c>
      <c r="L4" s="69" t="s">
        <v>252</v>
      </c>
      <c r="M4" s="70" t="s">
        <v>253</v>
      </c>
      <c r="O4" s="46">
        <v>2</v>
      </c>
      <c r="P4" s="276" t="s">
        <v>295</v>
      </c>
      <c r="Q4" s="46">
        <v>12</v>
      </c>
      <c r="R4" s="276" t="s">
        <v>302</v>
      </c>
      <c r="T4" s="366"/>
      <c r="U4" s="364"/>
      <c r="V4" s="284">
        <v>62.2</v>
      </c>
      <c r="W4" s="285" t="s">
        <v>663</v>
      </c>
      <c r="X4" s="291">
        <v>11.964</v>
      </c>
      <c r="Y4" s="294" t="s">
        <v>294</v>
      </c>
      <c r="Z4" s="300"/>
      <c r="AA4" s="298"/>
      <c r="AB4" s="67" t="s">
        <v>294</v>
      </c>
      <c r="AC4" s="67">
        <v>1</v>
      </c>
      <c r="AF4" s="298"/>
      <c r="AH4" s="67">
        <v>2</v>
      </c>
      <c r="AK4" s="30" t="s">
        <v>693</v>
      </c>
      <c r="AL4" s="30">
        <v>0.23518</v>
      </c>
      <c r="AM4" s="30">
        <v>0.23492</v>
      </c>
      <c r="AN4" s="302">
        <f>(AL4-AM4)/AL4</f>
        <v>0.0011055361850497926</v>
      </c>
      <c r="AO4" s="302">
        <f>0.125/12</f>
        <v>0.010416666666666666</v>
      </c>
      <c r="AP4" s="302">
        <f>0.125/12</f>
        <v>0.010416666666666666</v>
      </c>
    </row>
    <row r="5" spans="1:42" ht="12.75">
      <c r="A5" s="322" t="s">
        <v>94</v>
      </c>
      <c r="B5" s="142">
        <v>59.8</v>
      </c>
      <c r="C5" s="143">
        <v>61.4</v>
      </c>
      <c r="D5" s="150">
        <v>26</v>
      </c>
      <c r="E5" s="142">
        <v>57.6</v>
      </c>
      <c r="F5" s="143">
        <v>59.1</v>
      </c>
      <c r="G5" s="150">
        <v>35</v>
      </c>
      <c r="H5" s="142">
        <v>101.7</v>
      </c>
      <c r="I5" s="143">
        <v>98</v>
      </c>
      <c r="J5" s="150">
        <v>28</v>
      </c>
      <c r="K5" s="142">
        <v>104</v>
      </c>
      <c r="L5" s="143">
        <v>99</v>
      </c>
      <c r="M5" s="150">
        <v>26</v>
      </c>
      <c r="O5" s="46">
        <v>3</v>
      </c>
      <c r="P5" s="276" t="s">
        <v>296</v>
      </c>
      <c r="Q5" s="46">
        <v>13</v>
      </c>
      <c r="R5" s="276" t="s">
        <v>305</v>
      </c>
      <c r="T5" s="366"/>
      <c r="U5" s="363">
        <v>2</v>
      </c>
      <c r="V5" s="282">
        <v>60.2</v>
      </c>
      <c r="W5" s="283">
        <v>22</v>
      </c>
      <c r="X5" s="290">
        <v>8.4018</v>
      </c>
      <c r="Y5" s="293" t="s">
        <v>642</v>
      </c>
      <c r="Z5" s="300"/>
      <c r="AA5" s="298"/>
      <c r="AC5" s="67">
        <v>2</v>
      </c>
      <c r="AF5" s="298"/>
      <c r="AG5" s="67" t="s">
        <v>305</v>
      </c>
      <c r="AH5" s="67">
        <v>1</v>
      </c>
      <c r="AK5" s="30" t="s">
        <v>694</v>
      </c>
      <c r="AL5" s="30">
        <v>0.23366</v>
      </c>
      <c r="AM5" s="30">
        <v>0.2293</v>
      </c>
      <c r="AN5" s="302">
        <f aca="true" t="shared" si="0" ref="AN5:AN10">(AL5-AM5)/AL5</f>
        <v>0.01865959085851238</v>
      </c>
      <c r="AO5" s="302">
        <f>0.25/12</f>
        <v>0.020833333333333332</v>
      </c>
      <c r="AP5" s="302">
        <f>(3/16)/12</f>
        <v>0.015625</v>
      </c>
    </row>
    <row r="6" spans="1:42" ht="13.5" thickBot="1">
      <c r="A6" s="323"/>
      <c r="B6" s="144">
        <v>57.6</v>
      </c>
      <c r="C6" s="145">
        <v>58.3</v>
      </c>
      <c r="D6" s="151">
        <v>28</v>
      </c>
      <c r="E6" s="144" t="s">
        <v>673</v>
      </c>
      <c r="F6" s="145">
        <v>62.2</v>
      </c>
      <c r="G6" s="151">
        <v>31</v>
      </c>
      <c r="H6" s="144">
        <v>101.4</v>
      </c>
      <c r="I6" s="145">
        <v>97.7</v>
      </c>
      <c r="J6" s="151">
        <v>34</v>
      </c>
      <c r="K6" s="144">
        <v>101.3</v>
      </c>
      <c r="L6" s="145">
        <v>96.5</v>
      </c>
      <c r="M6" s="151">
        <v>29</v>
      </c>
      <c r="O6" s="46">
        <v>4</v>
      </c>
      <c r="P6" s="276" t="s">
        <v>310</v>
      </c>
      <c r="Q6" s="46">
        <v>14</v>
      </c>
      <c r="R6" s="276" t="s">
        <v>300</v>
      </c>
      <c r="T6" s="367"/>
      <c r="U6" s="364"/>
      <c r="V6" s="284">
        <v>63.5</v>
      </c>
      <c r="W6" s="285">
        <v>28</v>
      </c>
      <c r="X6" s="291">
        <v>11.9457</v>
      </c>
      <c r="Y6" s="294" t="s">
        <v>294</v>
      </c>
      <c r="Z6" s="300"/>
      <c r="AA6" s="298"/>
      <c r="AC6" s="67">
        <v>1</v>
      </c>
      <c r="AF6" s="298"/>
      <c r="AH6" s="67">
        <v>2</v>
      </c>
      <c r="AK6" s="30" t="s">
        <v>695</v>
      </c>
      <c r="AL6" s="30">
        <v>0.23622</v>
      </c>
      <c r="AM6" s="30">
        <v>0.2323</v>
      </c>
      <c r="AN6" s="302">
        <f t="shared" si="0"/>
        <v>0.016594699856066406</v>
      </c>
      <c r="AO6" s="302">
        <f>(3/16)/12</f>
        <v>0.015625</v>
      </c>
      <c r="AP6" s="302" t="s">
        <v>663</v>
      </c>
    </row>
    <row r="7" spans="1:42" ht="13.5" thickBot="1">
      <c r="A7" s="324"/>
      <c r="B7" s="146">
        <v>58</v>
      </c>
      <c r="C7" s="147">
        <v>58.3</v>
      </c>
      <c r="D7" s="152">
        <v>28</v>
      </c>
      <c r="E7" s="146">
        <v>59</v>
      </c>
      <c r="F7" s="147">
        <v>60.5</v>
      </c>
      <c r="G7" s="152">
        <v>33</v>
      </c>
      <c r="H7" s="146">
        <v>100.1</v>
      </c>
      <c r="I7" s="147">
        <v>95.9</v>
      </c>
      <c r="J7" s="152">
        <v>27</v>
      </c>
      <c r="K7" s="146">
        <v>100</v>
      </c>
      <c r="L7" s="147">
        <v>96.1</v>
      </c>
      <c r="M7" s="152">
        <v>26</v>
      </c>
      <c r="O7" s="46">
        <v>5</v>
      </c>
      <c r="P7" s="276" t="s">
        <v>299</v>
      </c>
      <c r="Q7" s="46">
        <v>15</v>
      </c>
      <c r="R7" s="276" t="s">
        <v>307</v>
      </c>
      <c r="T7" s="365">
        <v>2</v>
      </c>
      <c r="U7" s="363">
        <v>1</v>
      </c>
      <c r="V7" s="287">
        <v>103.1</v>
      </c>
      <c r="W7" s="288">
        <v>21</v>
      </c>
      <c r="X7" s="290">
        <v>8.38</v>
      </c>
      <c r="Y7" s="293" t="s">
        <v>642</v>
      </c>
      <c r="Z7" s="300"/>
      <c r="AA7" s="298"/>
      <c r="AB7" s="67" t="s">
        <v>295</v>
      </c>
      <c r="AC7" s="67">
        <v>2</v>
      </c>
      <c r="AF7" s="298"/>
      <c r="AH7" s="67">
        <v>1</v>
      </c>
      <c r="AK7" s="30" t="s">
        <v>31</v>
      </c>
      <c r="AL7" s="30">
        <v>0.23664</v>
      </c>
      <c r="AM7" s="30">
        <v>0.23256</v>
      </c>
      <c r="AN7" s="302">
        <f t="shared" si="0"/>
        <v>0.01724137931034483</v>
      </c>
      <c r="AO7" s="302">
        <f>(3/16)/12</f>
        <v>0.015625</v>
      </c>
      <c r="AP7" s="302">
        <f>(1/16)/12</f>
        <v>0.005208333333333333</v>
      </c>
    </row>
    <row r="8" spans="1:42" ht="13.5" thickBot="1">
      <c r="A8" s="322" t="s">
        <v>95</v>
      </c>
      <c r="B8" s="142">
        <v>59</v>
      </c>
      <c r="C8" s="143">
        <v>60.3</v>
      </c>
      <c r="D8" s="150">
        <v>28</v>
      </c>
      <c r="E8" s="142">
        <v>56.5</v>
      </c>
      <c r="F8" s="143">
        <v>58</v>
      </c>
      <c r="G8" s="150">
        <v>25</v>
      </c>
      <c r="H8" s="142">
        <v>102.9</v>
      </c>
      <c r="I8" s="143">
        <v>98.1</v>
      </c>
      <c r="J8" s="150">
        <v>28</v>
      </c>
      <c r="K8" s="142">
        <v>102.2</v>
      </c>
      <c r="L8" s="143">
        <v>97.7</v>
      </c>
      <c r="M8" s="150">
        <v>27</v>
      </c>
      <c r="O8" s="46">
        <v>6</v>
      </c>
      <c r="P8" s="276" t="s">
        <v>306</v>
      </c>
      <c r="Q8" s="46">
        <v>16</v>
      </c>
      <c r="R8" s="276" t="s">
        <v>297</v>
      </c>
      <c r="T8" s="366"/>
      <c r="U8" s="364"/>
      <c r="V8" s="284">
        <v>99.9</v>
      </c>
      <c r="W8" s="285">
        <v>28</v>
      </c>
      <c r="X8" s="291">
        <v>13.6084</v>
      </c>
      <c r="Y8" s="294" t="s">
        <v>312</v>
      </c>
      <c r="Z8" s="300"/>
      <c r="AA8" s="298">
        <v>40403</v>
      </c>
      <c r="AC8" s="67">
        <v>1</v>
      </c>
      <c r="AF8" s="298"/>
      <c r="AG8" s="67" t="s">
        <v>300</v>
      </c>
      <c r="AH8" s="67">
        <v>2</v>
      </c>
      <c r="AK8" s="30" t="s">
        <v>696</v>
      </c>
      <c r="AL8" s="30">
        <v>0.24124</v>
      </c>
      <c r="AM8" s="30">
        <v>0.2364</v>
      </c>
      <c r="AN8" s="302">
        <f t="shared" si="0"/>
        <v>0.020063007793069187</v>
      </c>
      <c r="AO8" s="303">
        <f>0/12</f>
        <v>0</v>
      </c>
      <c r="AP8" s="302">
        <f>0.125/12</f>
        <v>0.010416666666666666</v>
      </c>
    </row>
    <row r="9" spans="1:42" ht="12.75">
      <c r="A9" s="323"/>
      <c r="B9" s="144">
        <v>55.5</v>
      </c>
      <c r="C9" s="145">
        <v>58.2</v>
      </c>
      <c r="D9" s="151">
        <v>26</v>
      </c>
      <c r="E9" s="144">
        <v>56.2</v>
      </c>
      <c r="F9" s="145">
        <v>57.5</v>
      </c>
      <c r="G9" s="151">
        <v>28</v>
      </c>
      <c r="H9" s="144">
        <v>104.6</v>
      </c>
      <c r="I9" s="145">
        <v>99.8</v>
      </c>
      <c r="J9" s="151">
        <v>28</v>
      </c>
      <c r="K9" s="144">
        <v>100.9</v>
      </c>
      <c r="L9" s="145">
        <v>96.6</v>
      </c>
      <c r="M9" s="151">
        <v>26</v>
      </c>
      <c r="O9" s="46">
        <v>7</v>
      </c>
      <c r="P9" s="276" t="s">
        <v>312</v>
      </c>
      <c r="Q9" s="46">
        <v>17</v>
      </c>
      <c r="R9" s="276" t="s">
        <v>311</v>
      </c>
      <c r="T9" s="366"/>
      <c r="U9" s="363">
        <v>2</v>
      </c>
      <c r="V9" s="282">
        <v>103.1</v>
      </c>
      <c r="W9" s="283">
        <v>22</v>
      </c>
      <c r="X9" s="290">
        <v>8.3944</v>
      </c>
      <c r="Y9" s="293" t="s">
        <v>642</v>
      </c>
      <c r="Z9" s="300"/>
      <c r="AA9" s="298"/>
      <c r="AC9" s="67">
        <v>2</v>
      </c>
      <c r="AF9" s="298"/>
      <c r="AG9" s="67" t="s">
        <v>679</v>
      </c>
      <c r="AH9" s="67">
        <v>1</v>
      </c>
      <c r="AI9" s="67" t="s">
        <v>682</v>
      </c>
      <c r="AK9" s="30" t="s">
        <v>697</v>
      </c>
      <c r="AL9" s="30">
        <v>0.23338</v>
      </c>
      <c r="AM9" s="30">
        <v>0.22966</v>
      </c>
      <c r="AN9" s="302">
        <f t="shared" si="0"/>
        <v>0.015939669209015343</v>
      </c>
      <c r="AO9" s="303">
        <f>0/12</f>
        <v>0</v>
      </c>
      <c r="AP9" s="303" t="s">
        <v>663</v>
      </c>
    </row>
    <row r="10" spans="1:42" ht="13.5" thickBot="1">
      <c r="A10" s="324"/>
      <c r="B10" s="146">
        <v>58.1</v>
      </c>
      <c r="C10" s="147">
        <v>59</v>
      </c>
      <c r="D10" s="152">
        <v>28</v>
      </c>
      <c r="E10" s="146">
        <v>57.4</v>
      </c>
      <c r="F10" s="147">
        <v>59</v>
      </c>
      <c r="G10" s="152">
        <v>29</v>
      </c>
      <c r="H10" s="146">
        <v>102.9</v>
      </c>
      <c r="I10" s="147">
        <v>98.3</v>
      </c>
      <c r="J10" s="152">
        <v>31</v>
      </c>
      <c r="K10" s="146">
        <v>101.6</v>
      </c>
      <c r="L10" s="147">
        <v>97</v>
      </c>
      <c r="M10" s="152">
        <v>26</v>
      </c>
      <c r="O10" s="46">
        <v>8</v>
      </c>
      <c r="P10" s="276" t="s">
        <v>308</v>
      </c>
      <c r="Q10" s="46">
        <v>18</v>
      </c>
      <c r="R10" s="276" t="s">
        <v>303</v>
      </c>
      <c r="T10" s="367"/>
      <c r="U10" s="364"/>
      <c r="V10" s="284">
        <v>100.2</v>
      </c>
      <c r="W10" s="285">
        <v>29</v>
      </c>
      <c r="X10" s="291">
        <v>13.6314</v>
      </c>
      <c r="Y10" s="294" t="s">
        <v>312</v>
      </c>
      <c r="Z10" s="300"/>
      <c r="AA10" s="298"/>
      <c r="AB10" s="67" t="s">
        <v>296</v>
      </c>
      <c r="AC10" s="67">
        <v>1</v>
      </c>
      <c r="AF10" s="298"/>
      <c r="AH10" s="67">
        <v>2</v>
      </c>
      <c r="AI10" s="67" t="s">
        <v>683</v>
      </c>
      <c r="AK10" s="30" t="s">
        <v>698</v>
      </c>
      <c r="AL10" s="30">
        <v>0.23556</v>
      </c>
      <c r="AM10" s="30">
        <v>0.2331</v>
      </c>
      <c r="AN10" s="302">
        <f t="shared" si="0"/>
        <v>0.010443199184920997</v>
      </c>
      <c r="AO10" s="302">
        <f>(5/16)/12</f>
        <v>0.026041666666666668</v>
      </c>
      <c r="AP10" s="302">
        <f>0.125/12</f>
        <v>0.010416666666666666</v>
      </c>
    </row>
    <row r="11" spans="1:42" ht="12.75">
      <c r="A11" s="322" t="s">
        <v>96</v>
      </c>
      <c r="B11" s="142">
        <v>55.7</v>
      </c>
      <c r="C11" s="143">
        <v>57.2</v>
      </c>
      <c r="D11" s="150">
        <v>26</v>
      </c>
      <c r="E11" s="142">
        <v>61.5</v>
      </c>
      <c r="F11" s="143">
        <v>63.7</v>
      </c>
      <c r="G11" s="150">
        <v>33</v>
      </c>
      <c r="H11" s="142">
        <v>101.2</v>
      </c>
      <c r="I11" s="143">
        <v>94.9</v>
      </c>
      <c r="J11" s="150">
        <v>27</v>
      </c>
      <c r="K11" s="142">
        <v>101.7</v>
      </c>
      <c r="L11" s="143">
        <v>97.3</v>
      </c>
      <c r="M11" s="150">
        <v>30</v>
      </c>
      <c r="O11" s="46">
        <v>9</v>
      </c>
      <c r="P11" s="276" t="s">
        <v>298</v>
      </c>
      <c r="Q11" s="46">
        <v>19</v>
      </c>
      <c r="R11" s="276" t="s">
        <v>304</v>
      </c>
      <c r="T11" s="365">
        <v>3</v>
      </c>
      <c r="U11" s="363">
        <v>1</v>
      </c>
      <c r="V11" s="282">
        <v>101</v>
      </c>
      <c r="W11" s="283">
        <v>28</v>
      </c>
      <c r="X11" s="290">
        <v>8.3752</v>
      </c>
      <c r="Y11" s="293" t="s">
        <v>681</v>
      </c>
      <c r="Z11" s="300"/>
      <c r="AA11" s="298"/>
      <c r="AC11" s="67">
        <v>2</v>
      </c>
      <c r="AF11" s="298">
        <v>40408</v>
      </c>
      <c r="AG11" s="67" t="s">
        <v>300</v>
      </c>
      <c r="AH11" s="67">
        <v>1</v>
      </c>
      <c r="AM11" s="224" t="s">
        <v>701</v>
      </c>
      <c r="AN11" s="305">
        <f>MAX(AN2:AN10)</f>
        <v>0.020702147847839206</v>
      </c>
      <c r="AO11" s="305">
        <f>MAX(AO2:AO10)</f>
        <v>0.03125</v>
      </c>
      <c r="AP11" s="305">
        <f>MAX(AP2:AP10)</f>
        <v>0.026041666666666668</v>
      </c>
    </row>
    <row r="12" spans="1:34" ht="13.5" thickBot="1">
      <c r="A12" s="323"/>
      <c r="B12" s="144">
        <v>55.9</v>
      </c>
      <c r="C12" s="145">
        <v>58</v>
      </c>
      <c r="D12" s="151">
        <v>26</v>
      </c>
      <c r="E12" s="144">
        <v>60.3</v>
      </c>
      <c r="F12" s="145">
        <v>61.6</v>
      </c>
      <c r="G12" s="151">
        <v>28</v>
      </c>
      <c r="H12" s="144">
        <v>103</v>
      </c>
      <c r="I12" s="145">
        <v>96.3</v>
      </c>
      <c r="J12" s="151">
        <v>28</v>
      </c>
      <c r="K12" s="144">
        <v>101.4</v>
      </c>
      <c r="L12" s="145">
        <v>96.2</v>
      </c>
      <c r="M12" s="151">
        <v>27</v>
      </c>
      <c r="O12" s="48">
        <v>10</v>
      </c>
      <c r="P12" s="277" t="s">
        <v>301</v>
      </c>
      <c r="Q12" s="48">
        <v>20</v>
      </c>
      <c r="R12" s="277" t="s">
        <v>313</v>
      </c>
      <c r="T12" s="366"/>
      <c r="U12" s="364">
        <v>2</v>
      </c>
      <c r="V12" s="284">
        <v>93</v>
      </c>
      <c r="W12" s="285">
        <v>27</v>
      </c>
      <c r="X12" s="291">
        <v>11.7202</v>
      </c>
      <c r="Y12" s="294" t="s">
        <v>300</v>
      </c>
      <c r="Z12" s="300"/>
      <c r="AA12" s="298"/>
      <c r="AC12" s="67">
        <v>1</v>
      </c>
      <c r="AF12" s="298"/>
      <c r="AH12" s="67">
        <v>2</v>
      </c>
    </row>
    <row r="13" spans="1:40" ht="13.5" thickBot="1">
      <c r="A13" s="324"/>
      <c r="B13" s="146">
        <v>56.6</v>
      </c>
      <c r="C13" s="147">
        <v>57.5</v>
      </c>
      <c r="D13" s="152">
        <v>29</v>
      </c>
      <c r="E13" s="146">
        <v>60.4</v>
      </c>
      <c r="F13" s="147">
        <v>61.6</v>
      </c>
      <c r="G13" s="152">
        <v>28</v>
      </c>
      <c r="H13" s="146">
        <v>96.8</v>
      </c>
      <c r="I13" s="147">
        <v>93.5</v>
      </c>
      <c r="J13" s="152">
        <v>30</v>
      </c>
      <c r="K13" s="146">
        <v>100.9</v>
      </c>
      <c r="L13" s="147">
        <v>96.9</v>
      </c>
      <c r="M13" s="152">
        <v>28</v>
      </c>
      <c r="T13" s="366"/>
      <c r="U13" s="363">
        <v>2</v>
      </c>
      <c r="V13" s="282">
        <v>103.5</v>
      </c>
      <c r="W13" s="283">
        <v>30</v>
      </c>
      <c r="X13" s="290">
        <v>8.39</v>
      </c>
      <c r="Y13" s="293" t="s">
        <v>681</v>
      </c>
      <c r="Z13" s="300"/>
      <c r="AA13" s="298"/>
      <c r="AB13" s="67" t="s">
        <v>310</v>
      </c>
      <c r="AC13" s="67">
        <v>2</v>
      </c>
      <c r="AF13" s="298"/>
      <c r="AG13" s="67" t="s">
        <v>307</v>
      </c>
      <c r="AH13" s="67">
        <v>1</v>
      </c>
      <c r="AK13" s="67"/>
      <c r="AL13" s="67"/>
      <c r="AM13" s="67"/>
      <c r="AN13" s="67"/>
    </row>
    <row r="14" spans="1:37" ht="13.5" thickBot="1">
      <c r="A14" s="322" t="s">
        <v>97</v>
      </c>
      <c r="B14" s="142">
        <v>58.4</v>
      </c>
      <c r="C14" s="143">
        <v>60</v>
      </c>
      <c r="D14" s="150">
        <v>27</v>
      </c>
      <c r="E14" s="142">
        <v>56.7</v>
      </c>
      <c r="F14" s="143">
        <v>57.8</v>
      </c>
      <c r="G14" s="150">
        <v>32</v>
      </c>
      <c r="H14" s="142">
        <v>102.5</v>
      </c>
      <c r="I14" s="143">
        <v>97.4</v>
      </c>
      <c r="J14" s="150">
        <v>28</v>
      </c>
      <c r="K14" s="142">
        <v>103.1</v>
      </c>
      <c r="L14" s="143">
        <v>98.9</v>
      </c>
      <c r="M14" s="150">
        <v>30</v>
      </c>
      <c r="O14" s="224" t="s">
        <v>322</v>
      </c>
      <c r="T14" s="367"/>
      <c r="U14" s="364">
        <v>2.2</v>
      </c>
      <c r="V14" s="284">
        <v>100.2</v>
      </c>
      <c r="W14" s="285">
        <v>28</v>
      </c>
      <c r="X14" s="291">
        <v>11.6866</v>
      </c>
      <c r="Y14" s="294" t="s">
        <v>300</v>
      </c>
      <c r="Z14" s="300"/>
      <c r="AA14" s="298"/>
      <c r="AC14" s="67">
        <v>1</v>
      </c>
      <c r="AD14" s="67" t="s">
        <v>678</v>
      </c>
      <c r="AF14" s="298"/>
      <c r="AH14" s="67">
        <v>2</v>
      </c>
      <c r="AK14" s="306"/>
    </row>
    <row r="15" spans="1:34" ht="13.5" thickBot="1">
      <c r="A15" s="323"/>
      <c r="B15" s="144" t="s">
        <v>663</v>
      </c>
      <c r="C15" s="145">
        <v>59.6</v>
      </c>
      <c r="D15" s="151" t="s">
        <v>663</v>
      </c>
      <c r="E15" s="144">
        <v>53.7</v>
      </c>
      <c r="F15" s="145">
        <v>57.5</v>
      </c>
      <c r="G15" s="151">
        <v>27</v>
      </c>
      <c r="H15" s="144">
        <v>102.3</v>
      </c>
      <c r="I15" s="145">
        <v>97.2</v>
      </c>
      <c r="J15" s="151">
        <v>30</v>
      </c>
      <c r="K15" s="144">
        <v>102.9</v>
      </c>
      <c r="L15" s="145">
        <v>97.3</v>
      </c>
      <c r="M15" s="151">
        <v>28</v>
      </c>
      <c r="O15" s="292" t="s">
        <v>316</v>
      </c>
      <c r="P15" s="280" t="s">
        <v>317</v>
      </c>
      <c r="Q15" s="281" t="s">
        <v>318</v>
      </c>
      <c r="R15" s="279" t="s">
        <v>319</v>
      </c>
      <c r="AA15" s="298"/>
      <c r="AC15" s="67">
        <v>1</v>
      </c>
      <c r="AF15" s="298"/>
      <c r="AH15" s="67">
        <v>1</v>
      </c>
    </row>
    <row r="16" spans="1:34" ht="13.5" thickBot="1">
      <c r="A16" s="324"/>
      <c r="B16" s="146">
        <v>57.9</v>
      </c>
      <c r="C16" s="147">
        <v>58.6</v>
      </c>
      <c r="D16" s="152">
        <v>24</v>
      </c>
      <c r="E16" s="146">
        <v>57.1</v>
      </c>
      <c r="F16" s="147">
        <v>58.7</v>
      </c>
      <c r="G16" s="152">
        <v>27</v>
      </c>
      <c r="H16" s="146">
        <v>100.6</v>
      </c>
      <c r="I16" s="147">
        <v>96.9</v>
      </c>
      <c r="J16" s="152">
        <v>26</v>
      </c>
      <c r="K16" s="146">
        <v>101.9</v>
      </c>
      <c r="L16" s="147">
        <v>97.6</v>
      </c>
      <c r="M16" s="152">
        <v>29</v>
      </c>
      <c r="O16" s="361">
        <v>1</v>
      </c>
      <c r="P16" s="282">
        <v>56.1</v>
      </c>
      <c r="Q16" s="283">
        <v>22</v>
      </c>
      <c r="R16" s="51">
        <v>8.4366</v>
      </c>
      <c r="AA16" s="298"/>
      <c r="AC16" s="67">
        <v>2</v>
      </c>
      <c r="AF16" s="298"/>
      <c r="AG16" s="67" t="s">
        <v>297</v>
      </c>
      <c r="AH16" s="67">
        <v>2</v>
      </c>
    </row>
    <row r="17" spans="1:34" ht="13.5" thickBot="1">
      <c r="A17" s="322" t="s">
        <v>98</v>
      </c>
      <c r="B17" s="142">
        <v>57.9</v>
      </c>
      <c r="C17" s="143">
        <v>58.1</v>
      </c>
      <c r="D17" s="150">
        <v>24</v>
      </c>
      <c r="E17" s="142">
        <v>59.8</v>
      </c>
      <c r="F17" s="143">
        <v>60.2</v>
      </c>
      <c r="G17" s="150">
        <v>26</v>
      </c>
      <c r="H17" s="142">
        <v>103.8</v>
      </c>
      <c r="I17" s="143">
        <v>98.7</v>
      </c>
      <c r="J17" s="150">
        <v>31</v>
      </c>
      <c r="K17" s="142">
        <v>103.8</v>
      </c>
      <c r="L17" s="143">
        <v>98.8</v>
      </c>
      <c r="M17" s="150">
        <v>29</v>
      </c>
      <c r="O17" s="362"/>
      <c r="P17" s="284">
        <v>58</v>
      </c>
      <c r="Q17" s="285">
        <v>30</v>
      </c>
      <c r="R17" s="286">
        <v>11.8508</v>
      </c>
      <c r="AA17" s="298"/>
      <c r="AB17" s="67" t="s">
        <v>299</v>
      </c>
      <c r="AC17" s="67">
        <v>1</v>
      </c>
      <c r="AF17" s="298"/>
      <c r="AH17" s="67">
        <v>1</v>
      </c>
    </row>
    <row r="18" spans="1:34" ht="12.75">
      <c r="A18" s="323"/>
      <c r="B18" s="144">
        <v>57.3</v>
      </c>
      <c r="C18" s="145">
        <v>58.1</v>
      </c>
      <c r="D18" s="151">
        <v>26</v>
      </c>
      <c r="E18" s="144">
        <v>59.1</v>
      </c>
      <c r="F18" s="145">
        <v>60.2</v>
      </c>
      <c r="G18" s="151">
        <v>33</v>
      </c>
      <c r="H18" s="144">
        <v>103.5</v>
      </c>
      <c r="I18" s="145">
        <v>98.6</v>
      </c>
      <c r="J18" s="151">
        <v>30</v>
      </c>
      <c r="K18" s="144">
        <v>102</v>
      </c>
      <c r="L18" s="145">
        <v>97.3</v>
      </c>
      <c r="M18" s="151">
        <v>29</v>
      </c>
      <c r="O18" s="361">
        <v>2</v>
      </c>
      <c r="P18" s="282">
        <v>57</v>
      </c>
      <c r="Q18" s="283">
        <v>21</v>
      </c>
      <c r="R18" s="51">
        <v>8.4518</v>
      </c>
      <c r="AA18" s="298"/>
      <c r="AC18" s="67">
        <v>2</v>
      </c>
      <c r="AF18" s="298"/>
      <c r="AH18" s="67">
        <v>2</v>
      </c>
    </row>
    <row r="19" spans="1:34" ht="13.5" thickBot="1">
      <c r="A19" s="324"/>
      <c r="B19" s="148">
        <v>57.5</v>
      </c>
      <c r="C19" s="149">
        <v>58.8</v>
      </c>
      <c r="D19" s="153">
        <v>26</v>
      </c>
      <c r="E19" s="148">
        <v>58.6</v>
      </c>
      <c r="F19" s="149">
        <v>60</v>
      </c>
      <c r="G19" s="153">
        <v>29</v>
      </c>
      <c r="H19" s="148">
        <v>103.6</v>
      </c>
      <c r="I19" s="149">
        <v>99.9</v>
      </c>
      <c r="J19" s="153">
        <v>29</v>
      </c>
      <c r="K19" s="148">
        <v>100.7</v>
      </c>
      <c r="L19" s="149">
        <v>96.1</v>
      </c>
      <c r="M19" s="153">
        <v>30</v>
      </c>
      <c r="O19" s="362"/>
      <c r="P19" s="284">
        <v>57.9</v>
      </c>
      <c r="Q19" s="285">
        <v>27</v>
      </c>
      <c r="R19" s="286">
        <v>11.911</v>
      </c>
      <c r="AA19" s="298"/>
      <c r="AC19" s="67">
        <v>1</v>
      </c>
      <c r="AF19" s="298"/>
      <c r="AG19" s="67" t="s">
        <v>311</v>
      </c>
      <c r="AH19" s="67">
        <v>1</v>
      </c>
    </row>
    <row r="20" spans="11:34" ht="12.75">
      <c r="K20" s="66"/>
      <c r="L20" s="66"/>
      <c r="M20" s="66"/>
      <c r="N20" s="2"/>
      <c r="O20" s="361">
        <v>3</v>
      </c>
      <c r="P20" s="282">
        <v>56.3</v>
      </c>
      <c r="Q20" s="283">
        <v>21</v>
      </c>
      <c r="R20" s="51">
        <v>8.399</v>
      </c>
      <c r="AA20" s="298"/>
      <c r="AB20" s="67" t="s">
        <v>306</v>
      </c>
      <c r="AC20" s="67">
        <v>2</v>
      </c>
      <c r="AF20" s="298"/>
      <c r="AH20" s="67">
        <v>2</v>
      </c>
    </row>
    <row r="21" spans="1:34" ht="13.5" thickBot="1">
      <c r="A21" s="224" t="s">
        <v>325</v>
      </c>
      <c r="K21" s="249"/>
      <c r="L21" s="224" t="s">
        <v>315</v>
      </c>
      <c r="N21" s="2"/>
      <c r="O21" s="362"/>
      <c r="P21" s="284">
        <v>57.8</v>
      </c>
      <c r="Q21" s="285">
        <v>28</v>
      </c>
      <c r="R21" s="286">
        <v>12.093</v>
      </c>
      <c r="AA21" s="298"/>
      <c r="AC21" s="67">
        <v>1</v>
      </c>
      <c r="AF21" s="298"/>
      <c r="AH21" s="67">
        <v>1</v>
      </c>
    </row>
    <row r="22" spans="1:34" ht="13.5" thickBot="1">
      <c r="A22" s="66"/>
      <c r="B22" s="68" t="s">
        <v>251</v>
      </c>
      <c r="C22" s="69" t="s">
        <v>252</v>
      </c>
      <c r="D22" s="247" t="s">
        <v>253</v>
      </c>
      <c r="E22" s="68" t="s">
        <v>251</v>
      </c>
      <c r="F22" s="248" t="s">
        <v>252</v>
      </c>
      <c r="G22" s="70" t="s">
        <v>253</v>
      </c>
      <c r="H22" s="68" t="s">
        <v>251</v>
      </c>
      <c r="I22" s="69" t="s">
        <v>252</v>
      </c>
      <c r="J22" s="70" t="s">
        <v>253</v>
      </c>
      <c r="K22" s="249"/>
      <c r="L22" s="272" t="s">
        <v>293</v>
      </c>
      <c r="M22" s="273" t="s">
        <v>15</v>
      </c>
      <c r="N22" s="2"/>
      <c r="O22" s="361">
        <v>4</v>
      </c>
      <c r="P22" s="282">
        <v>55.3</v>
      </c>
      <c r="Q22" s="283">
        <v>26</v>
      </c>
      <c r="R22" s="51">
        <v>8.4434</v>
      </c>
      <c r="AA22" s="298"/>
      <c r="AC22" s="67">
        <v>2</v>
      </c>
      <c r="AF22" s="298"/>
      <c r="AG22" s="67" t="s">
        <v>303</v>
      </c>
      <c r="AH22" s="67">
        <v>2</v>
      </c>
    </row>
    <row r="23" spans="1:35" ht="13.5" thickBot="1">
      <c r="A23" s="138" t="s">
        <v>117</v>
      </c>
      <c r="B23" s="240" t="s">
        <v>705</v>
      </c>
      <c r="C23" s="237">
        <v>57.1</v>
      </c>
      <c r="D23" s="246">
        <v>31</v>
      </c>
      <c r="E23" s="240">
        <v>56.6</v>
      </c>
      <c r="F23" s="237">
        <v>58.1</v>
      </c>
      <c r="G23" s="241">
        <v>29</v>
      </c>
      <c r="H23" s="240">
        <v>57.8</v>
      </c>
      <c r="I23" s="237">
        <v>58.7</v>
      </c>
      <c r="J23" s="241">
        <v>31</v>
      </c>
      <c r="K23" s="249"/>
      <c r="L23" s="45">
        <v>1</v>
      </c>
      <c r="M23" s="278" t="s">
        <v>118</v>
      </c>
      <c r="N23" s="2"/>
      <c r="O23" s="362"/>
      <c r="P23" s="284">
        <v>56.6</v>
      </c>
      <c r="Q23" s="285">
        <v>31</v>
      </c>
      <c r="R23" s="286">
        <v>12.0854</v>
      </c>
      <c r="AA23" s="298">
        <v>40406</v>
      </c>
      <c r="AB23" s="67" t="s">
        <v>679</v>
      </c>
      <c r="AC23" s="67">
        <v>1</v>
      </c>
      <c r="AD23" s="67" t="s">
        <v>676</v>
      </c>
      <c r="AF23" s="298"/>
      <c r="AH23" s="67">
        <v>1</v>
      </c>
      <c r="AI23" s="67" t="s">
        <v>684</v>
      </c>
    </row>
    <row r="24" spans="1:34" ht="12.75">
      <c r="A24" s="232" t="s">
        <v>118</v>
      </c>
      <c r="B24" s="144">
        <v>56.4</v>
      </c>
      <c r="C24" s="231">
        <v>57.5</v>
      </c>
      <c r="D24" s="242">
        <v>27</v>
      </c>
      <c r="E24" s="144">
        <v>56.9</v>
      </c>
      <c r="F24" s="231">
        <v>57.8</v>
      </c>
      <c r="G24" s="151">
        <v>30</v>
      </c>
      <c r="H24" s="144">
        <v>57.1</v>
      </c>
      <c r="I24" s="231">
        <v>58.6</v>
      </c>
      <c r="J24" s="151">
        <v>27</v>
      </c>
      <c r="K24" s="249"/>
      <c r="L24" s="46">
        <v>2</v>
      </c>
      <c r="M24" s="276" t="s">
        <v>123</v>
      </c>
      <c r="N24" s="2"/>
      <c r="O24" s="361">
        <v>5</v>
      </c>
      <c r="P24" s="282">
        <v>56.1</v>
      </c>
      <c r="Q24" s="283">
        <v>26</v>
      </c>
      <c r="R24" s="51">
        <v>8.418</v>
      </c>
      <c r="AA24" s="298"/>
      <c r="AC24" s="67">
        <v>2</v>
      </c>
      <c r="AD24" s="67" t="s">
        <v>677</v>
      </c>
      <c r="AF24" s="298"/>
      <c r="AH24" s="67">
        <v>1</v>
      </c>
    </row>
    <row r="25" spans="1:34" ht="13.5" thickBot="1">
      <c r="A25" s="234" t="s">
        <v>119</v>
      </c>
      <c r="B25" s="146">
        <v>56.2</v>
      </c>
      <c r="C25" s="235">
        <v>57.9</v>
      </c>
      <c r="D25" s="243">
        <v>27</v>
      </c>
      <c r="E25" s="146">
        <v>57.2</v>
      </c>
      <c r="F25" s="235">
        <v>58.5</v>
      </c>
      <c r="G25" s="152">
        <v>27</v>
      </c>
      <c r="H25" s="146">
        <v>57.6</v>
      </c>
      <c r="I25" s="235">
        <v>59</v>
      </c>
      <c r="J25" s="152">
        <v>24</v>
      </c>
      <c r="K25" s="249"/>
      <c r="L25" s="46">
        <v>3</v>
      </c>
      <c r="M25" s="276" t="s">
        <v>119</v>
      </c>
      <c r="N25" s="2"/>
      <c r="O25" s="362"/>
      <c r="P25" s="284">
        <v>57.5</v>
      </c>
      <c r="Q25" s="285">
        <v>27</v>
      </c>
      <c r="R25" s="286">
        <v>12.1858</v>
      </c>
      <c r="AA25" s="298"/>
      <c r="AB25" s="67" t="s">
        <v>312</v>
      </c>
      <c r="AC25" s="67">
        <v>1</v>
      </c>
      <c r="AF25" s="298"/>
      <c r="AH25" s="67">
        <v>2</v>
      </c>
    </row>
    <row r="26" spans="1:34" ht="12.75">
      <c r="A26" s="138" t="s">
        <v>288</v>
      </c>
      <c r="B26" s="142">
        <v>56.4</v>
      </c>
      <c r="C26" s="238">
        <v>58</v>
      </c>
      <c r="D26" s="244">
        <v>28</v>
      </c>
      <c r="E26" s="142">
        <v>56.8</v>
      </c>
      <c r="F26" s="238">
        <v>57.4</v>
      </c>
      <c r="G26" s="150">
        <v>27</v>
      </c>
      <c r="H26" s="142">
        <v>56.7</v>
      </c>
      <c r="I26" s="238">
        <v>57.3</v>
      </c>
      <c r="J26" s="150">
        <v>30</v>
      </c>
      <c r="K26" s="249"/>
      <c r="L26" s="46">
        <v>4</v>
      </c>
      <c r="M26" s="276" t="s">
        <v>121</v>
      </c>
      <c r="N26" s="2"/>
      <c r="O26" s="361">
        <v>6</v>
      </c>
      <c r="P26" s="282">
        <v>56.6</v>
      </c>
      <c r="Q26" s="283">
        <v>23</v>
      </c>
      <c r="R26" s="51">
        <v>8.428</v>
      </c>
      <c r="AA26" s="298"/>
      <c r="AC26" s="67">
        <v>2</v>
      </c>
      <c r="AD26" s="67" t="s">
        <v>680</v>
      </c>
      <c r="AF26" s="298"/>
      <c r="AG26" s="67" t="s">
        <v>304</v>
      </c>
      <c r="AH26" s="67">
        <v>1</v>
      </c>
    </row>
    <row r="27" spans="1:34" ht="13.5" thickBot="1">
      <c r="A27" s="232" t="s">
        <v>121</v>
      </c>
      <c r="B27" s="144">
        <v>56.8</v>
      </c>
      <c r="C27" s="231">
        <v>58.6</v>
      </c>
      <c r="D27" s="242">
        <v>33</v>
      </c>
      <c r="E27" s="144">
        <v>58.6</v>
      </c>
      <c r="F27" s="231">
        <v>60</v>
      </c>
      <c r="G27" s="151">
        <v>33</v>
      </c>
      <c r="H27" s="144">
        <v>57.5</v>
      </c>
      <c r="I27" s="231">
        <v>59.1</v>
      </c>
      <c r="J27" s="151">
        <v>31</v>
      </c>
      <c r="K27" s="249"/>
      <c r="L27" s="46">
        <v>5</v>
      </c>
      <c r="M27" s="276" t="s">
        <v>125</v>
      </c>
      <c r="N27" s="2"/>
      <c r="O27" s="362"/>
      <c r="P27" s="284">
        <v>57.6</v>
      </c>
      <c r="Q27" s="285">
        <v>28</v>
      </c>
      <c r="R27" s="286">
        <v>12.1616</v>
      </c>
      <c r="AA27" s="298"/>
      <c r="AC27" s="67">
        <v>1</v>
      </c>
      <c r="AF27" s="298"/>
      <c r="AH27" s="67">
        <v>2</v>
      </c>
    </row>
    <row r="28" spans="1:34" ht="13.5" thickBot="1">
      <c r="A28" s="233" t="s">
        <v>122</v>
      </c>
      <c r="B28" s="148">
        <v>56.1</v>
      </c>
      <c r="C28" s="239">
        <v>56.6</v>
      </c>
      <c r="D28" s="245">
        <v>30</v>
      </c>
      <c r="E28" s="148">
        <v>56.7</v>
      </c>
      <c r="F28" s="239">
        <v>57.5</v>
      </c>
      <c r="G28" s="153">
        <v>30</v>
      </c>
      <c r="H28" s="148">
        <v>56.7</v>
      </c>
      <c r="I28" s="239">
        <v>57.7</v>
      </c>
      <c r="J28" s="153">
        <v>28</v>
      </c>
      <c r="K28" s="249"/>
      <c r="L28" s="46">
        <v>6</v>
      </c>
      <c r="M28" s="276" t="s">
        <v>124</v>
      </c>
      <c r="N28" s="2"/>
      <c r="O28" s="361">
        <v>7</v>
      </c>
      <c r="P28" s="282">
        <v>55.6</v>
      </c>
      <c r="Q28" s="283">
        <v>22</v>
      </c>
      <c r="R28" s="51">
        <v>8.4526</v>
      </c>
      <c r="AA28" s="298"/>
      <c r="AB28" s="67" t="s">
        <v>308</v>
      </c>
      <c r="AC28" s="67">
        <v>2</v>
      </c>
      <c r="AF28" s="298"/>
      <c r="AH28" s="67">
        <v>1</v>
      </c>
    </row>
    <row r="29" spans="1:34" ht="13.5" thickBot="1">
      <c r="A29" s="236" t="s">
        <v>123</v>
      </c>
      <c r="B29" s="240">
        <v>56.4</v>
      </c>
      <c r="C29" s="237">
        <v>57.4</v>
      </c>
      <c r="D29" s="246">
        <v>28</v>
      </c>
      <c r="E29" s="240">
        <v>57</v>
      </c>
      <c r="F29" s="237">
        <v>58.4</v>
      </c>
      <c r="G29" s="241">
        <v>23</v>
      </c>
      <c r="H29" s="240">
        <v>57.5</v>
      </c>
      <c r="I29" s="237">
        <v>58.2</v>
      </c>
      <c r="J29" s="241">
        <v>24</v>
      </c>
      <c r="K29" s="249"/>
      <c r="L29" s="46">
        <v>7</v>
      </c>
      <c r="M29" s="276" t="s">
        <v>122</v>
      </c>
      <c r="N29" s="2"/>
      <c r="O29" s="362"/>
      <c r="P29" s="284">
        <v>57.2</v>
      </c>
      <c r="Q29" s="285">
        <v>27</v>
      </c>
      <c r="R29" s="286">
        <v>12.2026</v>
      </c>
      <c r="AA29" s="298"/>
      <c r="AC29" s="67">
        <v>1</v>
      </c>
      <c r="AF29" s="298"/>
      <c r="AG29" s="67" t="s">
        <v>313</v>
      </c>
      <c r="AH29" s="67">
        <v>2</v>
      </c>
    </row>
    <row r="30" spans="1:34" ht="12.75">
      <c r="A30" s="232" t="s">
        <v>124</v>
      </c>
      <c r="B30" s="144">
        <v>57.1</v>
      </c>
      <c r="C30" s="231">
        <v>58.6</v>
      </c>
      <c r="D30" s="242">
        <v>33</v>
      </c>
      <c r="E30" s="144">
        <v>57.4</v>
      </c>
      <c r="F30" s="231">
        <v>58.8</v>
      </c>
      <c r="G30" s="151">
        <v>29</v>
      </c>
      <c r="H30" s="144">
        <v>57.5</v>
      </c>
      <c r="I30" s="231">
        <v>58.1</v>
      </c>
      <c r="J30" s="151">
        <v>32</v>
      </c>
      <c r="K30" s="2"/>
      <c r="L30" s="46">
        <v>8</v>
      </c>
      <c r="M30" s="276" t="s">
        <v>120</v>
      </c>
      <c r="N30" s="2"/>
      <c r="O30" s="361">
        <v>8</v>
      </c>
      <c r="P30" s="282">
        <v>57.1</v>
      </c>
      <c r="Q30" s="283">
        <v>24</v>
      </c>
      <c r="R30" s="51">
        <v>8.3928</v>
      </c>
      <c r="AA30" s="298"/>
      <c r="AC30" s="67">
        <v>2</v>
      </c>
      <c r="AF30" s="298"/>
      <c r="AH30" s="67">
        <v>1</v>
      </c>
    </row>
    <row r="31" spans="1:34" ht="13.5" thickBot="1">
      <c r="A31" s="233" t="s">
        <v>125</v>
      </c>
      <c r="B31" s="148">
        <v>57.1</v>
      </c>
      <c r="C31" s="239">
        <v>58.9</v>
      </c>
      <c r="D31" s="245">
        <v>29</v>
      </c>
      <c r="E31" s="148">
        <v>57.8</v>
      </c>
      <c r="F31" s="239">
        <v>59.2</v>
      </c>
      <c r="G31" s="153">
        <v>27</v>
      </c>
      <c r="H31" s="148">
        <v>57.2</v>
      </c>
      <c r="I31" s="239">
        <v>58.7</v>
      </c>
      <c r="J31" s="153">
        <v>28</v>
      </c>
      <c r="K31" s="2"/>
      <c r="L31" s="48">
        <v>9</v>
      </c>
      <c r="M31" s="277" t="s">
        <v>117</v>
      </c>
      <c r="N31" s="2"/>
      <c r="O31" s="362"/>
      <c r="P31" s="284">
        <v>58.6</v>
      </c>
      <c r="Q31" s="285">
        <v>33</v>
      </c>
      <c r="R31" s="286">
        <v>11.9358</v>
      </c>
      <c r="AA31" s="298"/>
      <c r="AB31" s="67" t="s">
        <v>298</v>
      </c>
      <c r="AC31" s="67">
        <v>1</v>
      </c>
      <c r="AF31" s="298"/>
      <c r="AH31" s="67">
        <v>2</v>
      </c>
    </row>
    <row r="32" spans="12:32" ht="12.75">
      <c r="L32" t="s">
        <v>706</v>
      </c>
      <c r="O32" s="361">
        <v>9</v>
      </c>
      <c r="P32" s="282">
        <v>57.1</v>
      </c>
      <c r="Q32" s="283">
        <v>21</v>
      </c>
      <c r="R32" s="51">
        <v>8.394</v>
      </c>
      <c r="AA32" s="298"/>
      <c r="AC32" s="67">
        <v>2</v>
      </c>
      <c r="AF32" s="298"/>
    </row>
    <row r="33" spans="15:32" ht="13.5" thickBot="1">
      <c r="O33" s="362"/>
      <c r="P33" s="284">
        <v>58.9</v>
      </c>
      <c r="Q33" s="285">
        <v>29</v>
      </c>
      <c r="R33" s="286">
        <v>12.128</v>
      </c>
      <c r="AA33" s="298"/>
      <c r="AC33" s="67">
        <v>1</v>
      </c>
      <c r="AF33" s="298"/>
    </row>
    <row r="34" spans="27:32" ht="12.75">
      <c r="AA34" s="298"/>
      <c r="AB34" s="67" t="s">
        <v>301</v>
      </c>
      <c r="AC34" s="67">
        <v>2</v>
      </c>
      <c r="AF34" s="298"/>
    </row>
    <row r="35" ht="12.75">
      <c r="AC35" s="67">
        <v>1</v>
      </c>
    </row>
    <row r="36" ht="12.75">
      <c r="AC36" s="67">
        <v>2</v>
      </c>
    </row>
    <row r="37" spans="28:29" ht="12.75">
      <c r="AB37" s="67" t="s">
        <v>309</v>
      </c>
      <c r="AC37" s="67">
        <v>1</v>
      </c>
    </row>
    <row r="38" ht="12.75">
      <c r="AC38" s="67">
        <v>2</v>
      </c>
    </row>
    <row r="39" spans="27:32" ht="12.75">
      <c r="AA39" s="298">
        <v>40407</v>
      </c>
      <c r="AC39" s="67">
        <v>1</v>
      </c>
      <c r="AF39" s="298"/>
    </row>
  </sheetData>
  <sheetProtection/>
  <mergeCells count="29">
    <mergeCell ref="T11:T14"/>
    <mergeCell ref="A14:A16"/>
    <mergeCell ref="A5:A7"/>
    <mergeCell ref="O16:O17"/>
    <mergeCell ref="O18:O19"/>
    <mergeCell ref="B2:G2"/>
    <mergeCell ref="H2:M2"/>
    <mergeCell ref="A8:A10"/>
    <mergeCell ref="A11:A13"/>
    <mergeCell ref="U11:U12"/>
    <mergeCell ref="O20:O21"/>
    <mergeCell ref="O22:O23"/>
    <mergeCell ref="A17:A19"/>
    <mergeCell ref="B3:D3"/>
    <mergeCell ref="E3:G3"/>
    <mergeCell ref="H3:J3"/>
    <mergeCell ref="T3:T6"/>
    <mergeCell ref="K3:M3"/>
    <mergeCell ref="U13:U14"/>
    <mergeCell ref="O24:O25"/>
    <mergeCell ref="O26:O27"/>
    <mergeCell ref="O28:O29"/>
    <mergeCell ref="O30:O31"/>
    <mergeCell ref="O32:O33"/>
    <mergeCell ref="U3:U4"/>
    <mergeCell ref="U5:U6"/>
    <mergeCell ref="T7:T10"/>
    <mergeCell ref="U7:U8"/>
    <mergeCell ref="U9:U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Whirlpool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 Siripuram</dc:creator>
  <cp:keywords/>
  <dc:description/>
  <cp:lastModifiedBy>Troy Watson</cp:lastModifiedBy>
  <cp:lastPrinted>2010-01-19T20:20:38Z</cp:lastPrinted>
  <dcterms:created xsi:type="dcterms:W3CDTF">2003-09-16T13:33:14Z</dcterms:created>
  <dcterms:modified xsi:type="dcterms:W3CDTF">2011-02-07T20:33:12Z</dcterms:modified>
  <cp:category/>
  <cp:version/>
  <cp:contentType/>
  <cp:contentStatus/>
</cp:coreProperties>
</file>